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rgysin.sharepoint.com/sites/VBLG/Freigegebene Dokumente/VBLG allgemein/Musterreglemente/Mietzinsbeitragsgesetz 2023/"/>
    </mc:Choice>
  </mc:AlternateContent>
  <xr:revisionPtr revIDLastSave="0" documentId="8_{630BA583-0B91-43DF-8A33-6BC86D548781}" xr6:coauthVersionLast="47" xr6:coauthVersionMax="47" xr10:uidLastSave="{00000000-0000-0000-0000-000000000000}"/>
  <bookViews>
    <workbookView xWindow="-120" yWindow="-120" windowWidth="29040" windowHeight="15840" firstSheet="2" activeTab="4" xr2:uid="{00000000-000D-0000-FFFF-FFFF00000000}"/>
  </bookViews>
  <sheets>
    <sheet name="Eingabe" sheetId="1" r:id="rId1"/>
    <sheet name="Auszug für Verfügung" sheetId="6" r:id="rId2"/>
    <sheet name="Kennzahlen" sheetId="7" r:id="rId3"/>
    <sheet name="Basisdaten Gemeinde" sheetId="2" r:id="rId4"/>
    <sheet name="Erste Schritte" sheetId="5" r:id="rId5"/>
    <sheet name="Grundeinstellungen" sheetId="4" state="hidden" r:id="rId6"/>
    <sheet name="Berechnungen" sheetId="3" state="hidden" r:id="rId7"/>
  </sheets>
  <definedNames>
    <definedName name="_xlnm.Print_Area" localSheetId="1">'Auszug für Verfügung'!$B$2:$D$45</definedName>
    <definedName name="_xlnm.Print_Area" localSheetId="0">Eingabe!$B$2:$H$123</definedName>
    <definedName name="_xlnm.Print_Area" localSheetId="4">'Erste Schritte'!$B$2:$K$41</definedName>
    <definedName name="_xlnm.Print_Area" localSheetId="2">Kennzahlen!$A$1:$B$1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6" i="1" l="1"/>
  <c r="D46" i="1"/>
  <c r="B4" i="7"/>
  <c r="K3" i="7"/>
  <c r="A4" i="7"/>
  <c r="C4" i="7"/>
  <c r="D4" i="7"/>
  <c r="E4" i="7"/>
  <c r="F4" i="7"/>
  <c r="H4" i="7"/>
  <c r="I4" i="7"/>
  <c r="J4" i="7"/>
  <c r="C42" i="6"/>
  <c r="C16" i="6"/>
  <c r="H42" i="1"/>
  <c r="B3" i="6"/>
  <c r="C28" i="6"/>
  <c r="B118" i="1"/>
  <c r="D74" i="1"/>
  <c r="C22" i="6" l="1"/>
  <c r="B104" i="1"/>
  <c r="C9" i="6" s="1"/>
  <c r="F24" i="2"/>
  <c r="F25" i="2"/>
  <c r="F26" i="2"/>
  <c r="F27" i="2"/>
  <c r="F23" i="2"/>
  <c r="B67" i="1"/>
  <c r="I42" i="1"/>
  <c r="E18" i="1"/>
  <c r="E19" i="1"/>
  <c r="E20" i="1"/>
  <c r="E22" i="1"/>
  <c r="D56" i="1" l="1"/>
  <c r="D57" i="1" s="1"/>
  <c r="B56" i="1"/>
  <c r="D70" i="2"/>
  <c r="D71" i="2"/>
  <c r="D72" i="2"/>
  <c r="D73" i="2"/>
  <c r="D74" i="2"/>
  <c r="D75" i="2"/>
  <c r="D76" i="2"/>
  <c r="D77" i="2"/>
  <c r="D78" i="2"/>
  <c r="D69" i="2"/>
  <c r="E70" i="2"/>
  <c r="E71" i="2"/>
  <c r="E72" i="2"/>
  <c r="E73" i="2"/>
  <c r="E74" i="2"/>
  <c r="E75" i="2"/>
  <c r="E76" i="2"/>
  <c r="E77" i="2"/>
  <c r="E78" i="2"/>
  <c r="E69" i="2"/>
  <c r="D24" i="2"/>
  <c r="D25" i="2"/>
  <c r="D26" i="2"/>
  <c r="D27" i="2"/>
  <c r="D23" i="2"/>
  <c r="E22" i="2"/>
  <c r="D22" i="2"/>
  <c r="E23" i="1"/>
  <c r="E21" i="1"/>
  <c r="E24" i="1"/>
  <c r="E25" i="1"/>
  <c r="E26" i="1"/>
  <c r="E27" i="1"/>
  <c r="E28" i="1"/>
  <c r="E29" i="1"/>
  <c r="E30" i="1"/>
  <c r="E31" i="1"/>
  <c r="E24" i="2"/>
  <c r="E25" i="2"/>
  <c r="E26" i="2"/>
  <c r="E27" i="2"/>
  <c r="E23" i="2"/>
  <c r="E55" i="2"/>
  <c r="D55" i="2"/>
  <c r="B15" i="3"/>
  <c r="B14" i="3"/>
  <c r="C16" i="3" s="1"/>
  <c r="E47" i="1" s="1"/>
  <c r="C11" i="3"/>
  <c r="E82" i="2"/>
  <c r="D82" i="2"/>
  <c r="D75" i="1" l="1"/>
  <c r="E76" i="1" s="1"/>
  <c r="H33" i="1"/>
  <c r="I33" i="1" s="1"/>
  <c r="C6" i="3"/>
  <c r="C21" i="3" s="1"/>
  <c r="C4" i="3"/>
  <c r="D14" i="1"/>
  <c r="H40" i="1" s="1"/>
  <c r="I40" i="1" s="1"/>
  <c r="D106" i="1"/>
  <c r="D12" i="6" s="1"/>
  <c r="D122" i="1"/>
  <c r="D32" i="6" s="1"/>
  <c r="D121" i="1"/>
  <c r="D31" i="6" s="1"/>
  <c r="D120" i="1"/>
  <c r="D30" i="6" s="1"/>
  <c r="C5" i="3" l="1"/>
  <c r="C20" i="3" s="1"/>
  <c r="C19" i="3"/>
  <c r="E86" i="1"/>
  <c r="D62" i="2"/>
  <c r="D53" i="2"/>
  <c r="G4" i="7" l="1"/>
  <c r="D111" i="1"/>
  <c r="D112" i="1" s="1"/>
  <c r="D104" i="1"/>
  <c r="D9" i="6" s="1"/>
  <c r="C26" i="3"/>
  <c r="E55" i="1"/>
  <c r="E67" i="1"/>
  <c r="D10" i="1"/>
  <c r="K4" i="7" s="1"/>
  <c r="B3" i="1"/>
  <c r="E56" i="1" l="1"/>
  <c r="D21" i="6"/>
  <c r="D118" i="1"/>
  <c r="D28" i="6" s="1"/>
  <c r="D22" i="6"/>
  <c r="C29" i="3"/>
  <c r="E57" i="1" l="1"/>
  <c r="C28" i="2"/>
  <c r="D28" i="2" l="1"/>
  <c r="F28" i="2"/>
  <c r="E92" i="1"/>
  <c r="D42" i="6"/>
  <c r="C28" i="3"/>
  <c r="D105" i="1"/>
  <c r="D11" i="6" s="1"/>
  <c r="D36" i="6"/>
  <c r="E28" i="2"/>
  <c r="C29" i="2"/>
  <c r="D29" i="2" l="1"/>
  <c r="F29" i="2"/>
  <c r="E113" i="1"/>
  <c r="D23" i="6" s="1"/>
  <c r="E29" i="2"/>
  <c r="C30" i="2"/>
  <c r="D30" i="2" l="1"/>
  <c r="F30" i="2"/>
  <c r="E90" i="1"/>
  <c r="D117" i="1"/>
  <c r="D27" i="6" s="1"/>
  <c r="E30" i="2"/>
  <c r="C31" i="2"/>
  <c r="C22" i="3"/>
  <c r="E58" i="1" s="1"/>
  <c r="D31" i="2" l="1"/>
  <c r="F31" i="2"/>
  <c r="E68" i="1"/>
  <c r="D119" i="1"/>
  <c r="E31" i="2"/>
  <c r="D103" i="1"/>
  <c r="C32" i="2"/>
  <c r="C27" i="3"/>
  <c r="C30" i="3" s="1"/>
  <c r="D41" i="2"/>
  <c r="D51" i="1" s="1"/>
  <c r="D16" i="6" s="1"/>
  <c r="D42" i="2"/>
  <c r="D43" i="2"/>
  <c r="D44" i="2"/>
  <c r="D45" i="2"/>
  <c r="D46" i="2"/>
  <c r="D47" i="2"/>
  <c r="D48" i="2"/>
  <c r="D49" i="2"/>
  <c r="D40" i="2"/>
  <c r="D32" i="2" l="1"/>
  <c r="F32" i="2"/>
  <c r="H51" i="1"/>
  <c r="I51" i="1" s="1"/>
  <c r="E123" i="1"/>
  <c r="D29" i="6"/>
  <c r="D33" i="6" s="1"/>
  <c r="E107" i="1"/>
  <c r="H86" i="1" s="1"/>
  <c r="I86" i="1" s="1"/>
  <c r="D10" i="6"/>
  <c r="D13" i="6" s="1"/>
  <c r="E32" i="2"/>
  <c r="E89" i="1" l="1"/>
  <c r="H95" i="1"/>
  <c r="I95" i="1" s="1"/>
  <c r="E91" i="1"/>
  <c r="D37" i="6"/>
  <c r="E95" i="1" l="1"/>
  <c r="E96" i="1" l="1"/>
  <c r="D43" i="6"/>
  <c r="D38" i="6"/>
  <c r="D39" i="6" l="1"/>
  <c r="B45" i="6" s="1"/>
  <c r="L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Jonny Wüthrich</author>
  </authors>
  <commentList>
    <comment ref="D10" authorId="0" shapeId="0" xr:uid="{00000000-0006-0000-0000-000001000000}">
      <text>
        <r>
          <rPr>
            <sz val="9"/>
            <color indexed="81"/>
            <rFont val="Segoe UI"/>
            <family val="2"/>
          </rPr>
          <t>Die Anspruchsberechtigung dauert standardmässig bis max. Ende des laufendes Kalenderjahres. Ist eine andere maximale Dauer vorgesehen, kann ein individuelles Ende definiert werden.</t>
        </r>
      </text>
    </comment>
    <comment ref="D14" authorId="0" shapeId="0" xr:uid="{00000000-0006-0000-0000-000002000000}">
      <text>
        <r>
          <rPr>
            <sz val="9"/>
            <color indexed="81"/>
            <rFont val="Segoe UI"/>
            <family val="2"/>
          </rPr>
          <t>Die Anspruchsberechtigung beginnt standardmässig am 1. Tag des Monats nach vorliegen aller Unterlagen. Ist gemäss Reglement ein anderes Startdatum vorgesehen, kann ein individuelles Datum definiert werden.</t>
        </r>
      </text>
    </comment>
    <comment ref="D19" authorId="0" shapeId="0" xr:uid="{00000000-0006-0000-0000-000003000000}">
      <text>
        <r>
          <rPr>
            <sz val="9"/>
            <color indexed="81"/>
            <rFont val="Segoe UI"/>
            <family val="2"/>
          </rPr>
          <t>(Ehepartner/-innen, Konkubinatspartner/-innen; Partner/-innen in eingetragener Partnerschaft)</t>
        </r>
      </text>
    </comment>
    <comment ref="D35" authorId="0" shapeId="0" xr:uid="{00000000-0006-0000-0000-000004000000}">
      <text>
        <r>
          <rPr>
            <sz val="9"/>
            <color indexed="81"/>
            <rFont val="Segoe UI"/>
            <charset val="1"/>
          </rPr>
          <t>Nur auszufüllen, falls hypothetisches Einkommen angerechnet wird.</t>
        </r>
      </text>
    </comment>
    <comment ref="D37" authorId="0" shapeId="0" xr:uid="{00000000-0006-0000-0000-000005000000}">
      <text>
        <r>
          <rPr>
            <sz val="9"/>
            <color indexed="81"/>
            <rFont val="Segoe UI"/>
            <family val="2"/>
          </rPr>
          <t>Nur auszufüllen, falls hypothetisches Einkommen angerechnet wird.</t>
        </r>
      </text>
    </comment>
    <comment ref="D45" authorId="0" shapeId="0" xr:uid="{00000000-0006-0000-0000-000006000000}">
      <text>
        <r>
          <rPr>
            <sz val="9"/>
            <color indexed="81"/>
            <rFont val="Segoe UI"/>
            <family val="2"/>
          </rPr>
          <t>Total über alle Erwachsene in Unterstützungseinheit</t>
        </r>
      </text>
    </comment>
    <comment ref="D46" authorId="0" shapeId="0" xr:uid="{00000000-0006-0000-0000-000007000000}">
      <text>
        <r>
          <rPr>
            <sz val="9"/>
            <color indexed="81"/>
            <rFont val="Segoe UI"/>
            <family val="2"/>
          </rPr>
          <t>Gefordertes Arbeitspensum zur Berechnung des hypothetischen Einkommens.</t>
        </r>
      </text>
    </comment>
    <comment ref="D47" authorId="0" shapeId="0" xr:uid="{00000000-0006-0000-0000-000008000000}">
      <text>
        <r>
          <rPr>
            <sz val="9"/>
            <color indexed="81"/>
            <rFont val="Segoe UI"/>
            <family val="2"/>
          </rPr>
          <t>Ist das geforderte Arbeitspensum angesichts der individuellen Situation der Unterstützungseinheit zu hoch angesetzt, kann hier ein tieferes Pensum eingetragen werden.</t>
        </r>
      </text>
    </comment>
    <comment ref="D50" authorId="0" shapeId="0" xr:uid="{00000000-0006-0000-0000-000009000000}">
      <text>
        <r>
          <rPr>
            <sz val="9"/>
            <color indexed="81"/>
            <rFont val="Segoe UI"/>
            <family val="2"/>
          </rPr>
          <t>Total Vermögen aller Erwachsenen in Unterstützungseinheit</t>
        </r>
      </text>
    </comment>
    <comment ref="D51" authorId="0" shapeId="0" xr:uid="{00000000-0006-0000-0000-00000A000000}">
      <text>
        <r>
          <rPr>
            <sz val="9"/>
            <color indexed="81"/>
            <rFont val="Segoe UI"/>
            <family val="2"/>
          </rPr>
          <t>Die Vermögensgrenze beträgt mindestens das 5-fache des Vermögensfreibetrags der Sozialhilfe und wird automatisch berechnet. Wird die Vermögensgrenze überschritten, besteht kein Anspruch.</t>
        </r>
      </text>
    </comment>
    <comment ref="D55" authorId="0" shapeId="0" xr:uid="{00000000-0006-0000-0000-00000B000000}">
      <text>
        <r>
          <rPr>
            <sz val="9"/>
            <color indexed="81"/>
            <rFont val="Segoe UI"/>
            <family val="2"/>
          </rPr>
          <t>Effektive Jahresnettomiete resp. Jahresbruttomiete bis maximal die angemessene Jahresnettomiete resp. Jahresbruttomiete. Gemeinden mit Brutto-Mietzinsgrenzwerten deklarieren jeweils die Bruttomiete; Gemeinden mit Netto-Mietzinsgrenzwerten geben die effektive Nettomiete an - die Nebenkosten werden pauschal mit 20% dazugerechnet.</t>
        </r>
      </text>
    </comment>
    <comment ref="D58" authorId="0" shapeId="0" xr:uid="{00000000-0006-0000-0000-00000C000000}">
      <text>
        <r>
          <rPr>
            <sz val="9"/>
            <color indexed="81"/>
            <rFont val="Segoe UI"/>
            <family val="2"/>
          </rPr>
          <t>Jährliche Prämien abzüglich allfällige Prämienverbilligungen bis maximal die regionalen Durchschnittsprämien</t>
        </r>
      </text>
    </comment>
    <comment ref="E59" authorId="0" shapeId="0" xr:uid="{00000000-0006-0000-0000-00000D000000}">
      <text>
        <r>
          <rPr>
            <sz val="9"/>
            <color indexed="81"/>
            <rFont val="Segoe UI"/>
            <family val="2"/>
          </rPr>
          <t>(unter Berücksichtung allf. Subventionen)</t>
        </r>
      </text>
    </comment>
    <comment ref="D72" authorId="0" shapeId="0" xr:uid="{00000000-0006-0000-0000-00000E000000}">
      <text>
        <r>
          <rPr>
            <sz val="9"/>
            <color indexed="81"/>
            <rFont val="Segoe UI"/>
            <family val="2"/>
          </rPr>
          <t>Jahreseinkommen aus unselbständiger und selbständiger Erwerbstätigkeit, inkl. 13. Monatslohn, Gratifikation, Provision, Erfolgsbeteiligungen, etc...</t>
        </r>
      </text>
    </comment>
    <comment ref="D73" authorId="0" shapeId="0" xr:uid="{00000000-0006-0000-0000-00000F000000}">
      <text>
        <r>
          <rPr>
            <sz val="9"/>
            <color indexed="81"/>
            <rFont val="Segoe UI"/>
            <family val="2"/>
          </rPr>
          <t>Jahreseinkommen aus unselbständiger und selbständiger Erwerbstätigkeit, inkl. 13. Monatslohn, Gratifikation, Provision, Erfolgsbeteiligungen, etc...</t>
        </r>
      </text>
    </comment>
    <comment ref="D76" authorId="0" shapeId="0" xr:uid="{00000000-0006-0000-0000-000010000000}">
      <text>
        <r>
          <rPr>
            <sz val="9"/>
            <color indexed="81"/>
            <rFont val="Segoe UI"/>
            <family val="2"/>
          </rPr>
          <t>Bei Einbezug hypothetisches Einkommen: Die Berechnung erfolgt durch Hochrechnung des bestehenden Erwerbseinkommens auf das geforderte Pensum. Falls nicht akurat (bspw. bei mehreren potenziell erwerbstätigen Personen im Haushalt) oder falls kein bisheriges Einkommen besteht, muss die Schätzung auf Basis von Lohntabellen bspw. der Schweizerischen Lohnstrukturerhebung durchgeführt und manuell eingetragen werden.</t>
        </r>
      </text>
    </comment>
    <comment ref="E89" authorId="0" shapeId="0" xr:uid="{00000000-0006-0000-0000-000011000000}">
      <text>
        <r>
          <rPr>
            <sz val="9"/>
            <color indexed="81"/>
            <rFont val="Segoe UI"/>
            <family val="2"/>
          </rPr>
          <t>Wird die Jahreseinkommenshöchstgrenze überschritten besteht kein Anspruch auf Mietzinsbeiträge.</t>
        </r>
      </text>
    </comment>
    <comment ref="E90" authorId="0" shapeId="0" xr:uid="{00000000-0006-0000-0000-000012000000}">
      <text>
        <r>
          <rPr>
            <sz val="9"/>
            <color indexed="81"/>
            <rFont val="Segoe UI"/>
            <family val="2"/>
          </rPr>
          <t>Detaillierte Berechnung siehe unten.</t>
        </r>
      </text>
    </comment>
    <comment ref="E91" authorId="0" shapeId="0" xr:uid="{00000000-0006-0000-0000-000013000000}">
      <text>
        <r>
          <rPr>
            <sz val="9"/>
            <color indexed="81"/>
            <rFont val="Segoe UI"/>
            <family val="2"/>
          </rPr>
          <t>Detaillierte Berechnung siehe unten.</t>
        </r>
      </text>
    </comment>
    <comment ref="E92" authorId="0" shapeId="0" xr:uid="{00000000-0006-0000-0000-000014000000}">
      <text>
        <r>
          <rPr>
            <sz val="9"/>
            <color indexed="81"/>
            <rFont val="Segoe UI"/>
            <family val="2"/>
          </rPr>
          <t>Maximaler Mietzinsbeitrag: Siehe Definition in den Basisdaten.</t>
        </r>
      </text>
    </comment>
    <comment ref="E95" authorId="0" shapeId="0" xr:uid="{00000000-0006-0000-0000-000015000000}">
      <text>
        <r>
          <rPr>
            <sz val="9"/>
            <color indexed="81"/>
            <rFont val="Segoe UI"/>
            <family val="2"/>
          </rPr>
          <t>Der Mietzinsbeitrag ist die Differenz zwischen der effektiven Jahresnettomiete zuzüglich der Nebenkosten und dem tragbaren Mass der Mietzinsbelastung.</t>
        </r>
      </text>
    </comment>
    <comment ref="D103" authorId="0" shapeId="0" xr:uid="{00000000-0006-0000-0000-000016000000}">
      <text>
        <r>
          <rPr>
            <sz val="9"/>
            <color indexed="81"/>
            <rFont val="Segoe UI"/>
            <family val="2"/>
          </rPr>
          <t xml:space="preserve">Prämien abzüglich allfällige Prämienverbilligungen bis maximal die regionalen Durchschnittsprämien </t>
        </r>
      </text>
    </comment>
    <comment ref="D104" authorId="0" shapeId="0" xr:uid="{00000000-0006-0000-0000-000017000000}">
      <text>
        <r>
          <rPr>
            <sz val="9"/>
            <color indexed="81"/>
            <rFont val="Segoe UI"/>
            <family val="2"/>
          </rPr>
          <t>min. 130% des Sozialhilfegrundbedarfs gemäss Basisdaten</t>
        </r>
      </text>
    </comment>
    <comment ref="D105" authorId="0" shapeId="0" xr:uid="{00000000-0006-0000-0000-000018000000}">
      <text>
        <r>
          <rPr>
            <sz val="9"/>
            <color indexed="81"/>
            <rFont val="Segoe UI"/>
            <family val="2"/>
          </rPr>
          <t>Effektive Jahresnettomiete zuzüglich 20% der Nettowohnkosten als Nebenkosten bis maximal die angemessene Jahresnettomiete zuzüglich 20% als Nebenkosten</t>
        </r>
      </text>
    </comment>
    <comment ref="D106" authorId="0" shapeId="0" xr:uid="{00000000-0006-0000-0000-000019000000}">
      <text>
        <r>
          <rPr>
            <sz val="9"/>
            <color indexed="81"/>
            <rFont val="Segoe UI"/>
            <family val="2"/>
          </rPr>
          <t>Effektive Kosten für familienergänzende Kinderbetreuung</t>
        </r>
      </text>
    </comment>
  </commentList>
</comments>
</file>

<file path=xl/sharedStrings.xml><?xml version="1.0" encoding="utf-8"?>
<sst xmlns="http://schemas.openxmlformats.org/spreadsheetml/2006/main" count="292" uniqueCount="246">
  <si>
    <t>Datum der Berechnung</t>
  </si>
  <si>
    <t>Anspruchsberechtigungsperiode bis längstens zum</t>
  </si>
  <si>
    <t>Berechnung Mietzinsbeiträge</t>
  </si>
  <si>
    <t>Gesuchsunterlagen komplett am</t>
  </si>
  <si>
    <t>Erwachsene</t>
  </si>
  <si>
    <t>Wohnhaft in BL seit</t>
  </si>
  <si>
    <t>Vorname Name</t>
  </si>
  <si>
    <t>Total</t>
  </si>
  <si>
    <t>Deklaration</t>
  </si>
  <si>
    <t>Massgebend</t>
  </si>
  <si>
    <t>Ausgaben</t>
  </si>
  <si>
    <t>AHV-Beiträge für Nichterwerbstätige</t>
  </si>
  <si>
    <t>Anspruch ab</t>
  </si>
  <si>
    <t>Nein</t>
  </si>
  <si>
    <t>Ja</t>
  </si>
  <si>
    <t>Aufenthaltsstatus</t>
  </si>
  <si>
    <t>CH</t>
  </si>
  <si>
    <t>B</t>
  </si>
  <si>
    <t>andere</t>
  </si>
  <si>
    <t>C</t>
  </si>
  <si>
    <t>Anspruch</t>
  </si>
  <si>
    <t>Jahre</t>
  </si>
  <si>
    <t>Grundeinstellungen</t>
  </si>
  <si>
    <t>Berechnungen</t>
  </si>
  <si>
    <t>Hinweistexte</t>
  </si>
  <si>
    <t>Pensenerhöhung prüfen</t>
  </si>
  <si>
    <t>hypothetisches Einkommen</t>
  </si>
  <si>
    <t>Anz. Personen</t>
  </si>
  <si>
    <t>Betrag</t>
  </si>
  <si>
    <t>Karenzfrist (Mindestwohndauer in BL für Anspruchsberechtigung)</t>
  </si>
  <si>
    <t>Faktor</t>
  </si>
  <si>
    <t>Wert</t>
  </si>
  <si>
    <t>Entschädigung für Haushaltsführung</t>
  </si>
  <si>
    <t>Sonstige Leistungen Dritter</t>
  </si>
  <si>
    <t>Durchschnittsprämien Krankenkasse</t>
  </si>
  <si>
    <t>Kinder</t>
  </si>
  <si>
    <t>Krankenkasse Durchschnittspärmie</t>
  </si>
  <si>
    <t>junge Erwachsene</t>
  </si>
  <si>
    <t>Jahreseinkommenshöchstgrenze</t>
  </si>
  <si>
    <t>Grundbedarf</t>
  </si>
  <si>
    <t>Grundbedarf in der Sozialhilfe pro Person</t>
  </si>
  <si>
    <t>Krankenpflegeversicherung</t>
  </si>
  <si>
    <t>Nebenkosten</t>
  </si>
  <si>
    <t>effektive Kosten für familienergänzende Kinderbetreuung</t>
  </si>
  <si>
    <t>Gemeinde</t>
  </si>
  <si>
    <t>Berechnung für</t>
  </si>
  <si>
    <t>Berechnung ausgefüllt durch</t>
  </si>
  <si>
    <t>…</t>
  </si>
  <si>
    <t xml:space="preserve">✔ </t>
  </si>
  <si>
    <t>Jahresnettomiete (inkl. Nebenkosten)</t>
  </si>
  <si>
    <t>Impressum</t>
  </si>
  <si>
    <t>Katon Basel-Landschaft</t>
  </si>
  <si>
    <t>Finanz- und Kirchendirektion </t>
  </si>
  <si>
    <t>Kantonales Sozialamt</t>
  </si>
  <si>
    <t>Gestadeckplatz 8</t>
  </si>
  <si>
    <t>4410 Liestal</t>
  </si>
  <si>
    <t>www.vorlagenbauer.ch</t>
  </si>
  <si>
    <t>Herausgegeben durch:</t>
  </si>
  <si>
    <t>Technische Umsetzung:</t>
  </si>
  <si>
    <t>Unterstützungseinheit</t>
  </si>
  <si>
    <t>F</t>
  </si>
  <si>
    <t>S</t>
  </si>
  <si>
    <t>Karenzfrist</t>
  </si>
  <si>
    <t>Arbeitspensum</t>
  </si>
  <si>
    <t>Vermögensgrenze</t>
  </si>
  <si>
    <t>Sonstige wiederkehrende:</t>
  </si>
  <si>
    <t>Jahresnettoeinkommen</t>
  </si>
  <si>
    <t>Massgebliches Einkommen</t>
  </si>
  <si>
    <t>Das massgebliche Einkommen der Unterstützungseinheit setzt sich aus allen Einkünften der Unterstützungseinheit zusammen. Es dient zur Berechnung der Höhe des Mietzinsbeitrags. Dazu wird derjenige Teil des Einkommens, der 130 % des Grundbedarfs in der Sozialhilfe entspricht, zu 100 % angerechnet. Derjenige Teil des Einkommens, der 130 % des Grundbedarfs in der Sozialhilfe übersteigt, wird hingegen nur bis zu 75 % angerechnet.</t>
  </si>
  <si>
    <t>Tragbares Mass der Mietzinsbelastung</t>
  </si>
  <si>
    <t>Das tragbare Mass der Mietzinsbelastung für eine Unterstützungseinheit ist die Differenz des massgeblichen Einkommens zu den anerkannten Ausgaben.</t>
  </si>
  <si>
    <t>Mietzinsbeitrag pro Jahr</t>
  </si>
  <si>
    <t>Mietzinsbeitragsmaximum</t>
  </si>
  <si>
    <t>Monatswert (auszuzahlender Betrag)</t>
  </si>
  <si>
    <t>Geforderte Arbeitspensen zur Berechnung des hypothetischen Einkommens</t>
  </si>
  <si>
    <t>gültig für Jahr</t>
  </si>
  <si>
    <t>Prozentsatz in Ihrer Gemeinde (mind. 75%)</t>
  </si>
  <si>
    <t>Gemeindename</t>
  </si>
  <si>
    <t xml:space="preserve">Effektives Arbeitspensum </t>
  </si>
  <si>
    <t>Vermögen</t>
  </si>
  <si>
    <t>Jahresmiete</t>
  </si>
  <si>
    <t>Kinderbetreuung</t>
  </si>
  <si>
    <t>Effektive Prämien der obligatorischen Krankenpflegeversicherung</t>
  </si>
  <si>
    <t>Hypothetisches Einkommen wird angerechnet</t>
  </si>
  <si>
    <t>Grundbedarf/Monat</t>
  </si>
  <si>
    <t>Massgebendes Einkommen</t>
  </si>
  <si>
    <t>- effektive Kosten für familienergänzende Kinderbetreuung</t>
  </si>
  <si>
    <t>- AHV-Beiträge für nicht erwerbstätige Personen</t>
  </si>
  <si>
    <r>
      <t>Erwerbsersatzeinkommen</t>
    </r>
    <r>
      <rPr>
        <sz val="7"/>
        <color theme="1"/>
        <rFont val="Arial"/>
        <family val="2"/>
        <scheme val="minor"/>
      </rPr>
      <t xml:space="preserve"> (Taggelder der ALV, Kranken- und Unfalltaggelder, EO etc.)</t>
    </r>
  </si>
  <si>
    <r>
      <t xml:space="preserve">Ausbildungsbeiträge </t>
    </r>
    <r>
      <rPr>
        <sz val="7"/>
        <color theme="1"/>
        <rFont val="Arial"/>
        <family val="2"/>
        <scheme val="minor"/>
      </rPr>
      <t>(die nicht bereits in Erwerbseinkommen enthalten sind)</t>
    </r>
  </si>
  <si>
    <r>
      <t xml:space="preserve">Unterhaltsbeiträge </t>
    </r>
    <r>
      <rPr>
        <sz val="7"/>
        <color theme="1"/>
        <rFont val="Arial"/>
        <family val="2"/>
        <scheme val="minor"/>
      </rPr>
      <t>(eheliche und elterliche)</t>
    </r>
  </si>
  <si>
    <r>
      <t xml:space="preserve">Untermiete </t>
    </r>
    <r>
      <rPr>
        <sz val="7"/>
        <color theme="1"/>
        <rFont val="Arial"/>
        <family val="2"/>
        <scheme val="minor"/>
      </rPr>
      <t>(falls Untermietverhältnis vorhanden)</t>
    </r>
  </si>
  <si>
    <t>Gültigkeit der Werte nicht passend zum Anspruchszeitraum.</t>
  </si>
  <si>
    <t>Hinweis: Gültigkeit der Werte in den Basisdaten entspricht nicht dem Anspruchszeitraum.</t>
  </si>
  <si>
    <r>
      <t xml:space="preserve">Renten </t>
    </r>
    <r>
      <rPr>
        <sz val="7"/>
        <color theme="1"/>
        <rFont val="Arial"/>
        <family val="2"/>
        <scheme val="minor"/>
      </rPr>
      <t>(AHV, IV, BVG, UV, etc.)</t>
    </r>
  </si>
  <si>
    <t>Aufteilung Obhut</t>
  </si>
  <si>
    <t>Obhut</t>
  </si>
  <si>
    <t>gemeinsame/geteilte Obhut</t>
  </si>
  <si>
    <t>alleinige Obhut</t>
  </si>
  <si>
    <t>Total (Jahreseinkommenshöchstgrenze)</t>
  </si>
  <si>
    <t>- sonstige wiederkehrende Ausgaben</t>
  </si>
  <si>
    <t>jüngstes Kind</t>
  </si>
  <si>
    <t>Altersstufe des jüngsten Kindes</t>
  </si>
  <si>
    <t>vor obligatorischen Einschulung</t>
  </si>
  <si>
    <t>ab obligatorischer Einschulung</t>
  </si>
  <si>
    <t>ab Eintritt in die Sekundarstufe</t>
  </si>
  <si>
    <t>ab Vollendung des 16. Lebensjahres</t>
  </si>
  <si>
    <t>Spalte</t>
  </si>
  <si>
    <t>Relevante Spalte</t>
  </si>
  <si>
    <t>Krankenversicherungs-Prämienregion</t>
  </si>
  <si>
    <t>Prämienregionen</t>
  </si>
  <si>
    <t>Region 1</t>
  </si>
  <si>
    <t>Region 2</t>
  </si>
  <si>
    <t>Kinder (0 - 18)</t>
  </si>
  <si>
    <t>Junge Erwachsene (19 - 25)</t>
  </si>
  <si>
    <t>Erwachsene (ab 26)</t>
  </si>
  <si>
    <t>Anzahl Erwachsene (ab 26 Jahren)</t>
  </si>
  <si>
    <t>Anzahl junge Erwachsene (19 - 25)</t>
  </si>
  <si>
    <t>Anzahl Kinder (0 - 18)</t>
  </si>
  <si>
    <t>Wird die Jahreseinkommenshöchstgrenze überschritten besteht kein Anspruch auf Mietzinsbeiträge.</t>
  </si>
  <si>
    <t>130% des Sozialhilfegrundbedarfs</t>
  </si>
  <si>
    <t>Detaillierte Berechnungen</t>
  </si>
  <si>
    <t>(Beziehungsweise der angemessenen Jahresnettomiete zuzüglich 20% Nebenkosten).</t>
  </si>
  <si>
    <t>Geburtsdatum</t>
  </si>
  <si>
    <t>Alter (bei Berechnung)</t>
  </si>
  <si>
    <t>bis</t>
  </si>
  <si>
    <t>Erwachsene Person 2</t>
  </si>
  <si>
    <t>Kind 1</t>
  </si>
  <si>
    <t>Kind 2</t>
  </si>
  <si>
    <t>Kind 3</t>
  </si>
  <si>
    <t>Kind 5</t>
  </si>
  <si>
    <t>Kind 6</t>
  </si>
  <si>
    <t>Kind 7</t>
  </si>
  <si>
    <t>Kind 8</t>
  </si>
  <si>
    <t>Kind 9</t>
  </si>
  <si>
    <t>Kind 10</t>
  </si>
  <si>
    <t>Kind 11</t>
  </si>
  <si>
    <t>Kind 12</t>
  </si>
  <si>
    <t>Antragstellende Person</t>
  </si>
  <si>
    <r>
      <t xml:space="preserve">60 - 80% vom Lehrlings- und Praktikumslohn </t>
    </r>
    <r>
      <rPr>
        <sz val="7"/>
        <color theme="1"/>
        <rFont val="Arial"/>
        <family val="2"/>
        <scheme val="minor"/>
      </rPr>
      <t>(Prozentsatz nach Ermessen festzulegen)</t>
    </r>
  </si>
  <si>
    <t>Ziefnerstrasse 2</t>
  </si>
  <si>
    <t>4419 Lupsingen</t>
  </si>
  <si>
    <t>Vorlagenbauer AG</t>
  </si>
  <si>
    <t>angem. Jahresmiete inkl. NK</t>
  </si>
  <si>
    <t>angem. Jahresmiete exkl. NK</t>
  </si>
  <si>
    <t>Jahresbruttomiete</t>
  </si>
  <si>
    <t>individuell definiertes Ende der Anspruchsberechtigungsperiode</t>
  </si>
  <si>
    <t>individuell definierter Beginn der Anspruchsberechtigungsperiode</t>
  </si>
  <si>
    <t>in Erst-
ausbildung</t>
  </si>
  <si>
    <t>Faktor zur Anrechnung des allgemeinen Lebensbedarfs</t>
  </si>
  <si>
    <t>als anerkannte Ausgabe (min. 100%)</t>
  </si>
  <si>
    <t xml:space="preserve">Faktor zur Anrechnung des allgemeinen Lebensbedarfs </t>
  </si>
  <si>
    <t>zur Berechnung der Einkommenshöchstgrenze (min. 130%)</t>
  </si>
  <si>
    <t>Jahresnettomiete resp. Jahresbruttomiete</t>
  </si>
  <si>
    <t>Individuell festgelegtes gefordertes Arbeitspensum</t>
  </si>
  <si>
    <t>Individuell festgelegtes massgebendes Einkommen</t>
  </si>
  <si>
    <t>Hypothetisches Einkommen (berechneter Wert)</t>
  </si>
  <si>
    <t>Hilflosenentschädigung (fliesst nicht in Berechnung ein)</t>
  </si>
  <si>
    <t>Mietzinsgrenzwert</t>
  </si>
  <si>
    <t xml:space="preserve">Angemessene Jahresnettomiete auf Basis des Mietzinsgrenzwerts </t>
  </si>
  <si>
    <t xml:space="preserve">Der maximale Mietzinsbeitrag beträgt mindestens 75% der effektiven Jahresnettomiete zuzüglich 20% Nebenkosten. </t>
  </si>
  <si>
    <t>✖</t>
  </si>
  <si>
    <t>• • •</t>
  </si>
  <si>
    <t>Grundb./Jahr (130% fix)</t>
  </si>
  <si>
    <t>Erste Schritte</t>
  </si>
  <si>
    <t>Berechnung Mietzinsbreiträge</t>
  </si>
  <si>
    <t>Gehen Sie beim ersten Einsatz dieser Datei folgendermassen vor:</t>
  </si>
  <si>
    <t>1.</t>
  </si>
  <si>
    <t>2.</t>
  </si>
  <si>
    <t>3.</t>
  </si>
  <si>
    <r>
      <rPr>
        <sz val="11"/>
        <color theme="5" tint="-0.249977111117893"/>
        <rFont val="Arial"/>
        <family val="2"/>
        <scheme val="minor"/>
      </rPr>
      <t xml:space="preserve">Datei &gt; Speichern unter </t>
    </r>
    <r>
      <rPr>
        <sz val="11"/>
        <color theme="1"/>
        <rFont val="Arial"/>
        <family val="2"/>
        <scheme val="minor"/>
      </rPr>
      <t xml:space="preserve">&gt; Datei speichern, Dateiformat: </t>
    </r>
    <r>
      <rPr>
        <b/>
        <sz val="11"/>
        <color theme="1"/>
        <rFont val="Arial"/>
        <family val="2"/>
        <scheme val="minor"/>
      </rPr>
      <t>Excel-Vorlage (.xltx)</t>
    </r>
  </si>
  <si>
    <t xml:space="preserve">Durch das Speichern als Vorlage (.xltx-Datei) wird sichergestellt, dass beim zukünftigen Ausfüllen der Datei nicht </t>
  </si>
  <si>
    <t>die Vorlage überschrieben wird, sondern eine neue Datei angelegt wird.</t>
  </si>
  <si>
    <t>4.</t>
  </si>
  <si>
    <t xml:space="preserve">Vorlage schliessen. </t>
  </si>
  <si>
    <t>Um eine neue Berechnung auszufüllen, kann die Vorlage im Dateiexplorer mit einem Doppelklick geöffnet werden.</t>
  </si>
  <si>
    <t>Excel erstellt dann automatisch eine Kopie und öffnet nicht die Vorlage.</t>
  </si>
  <si>
    <t>Willkommen zum Tool "Berechnung Mietzinsbeiträge".</t>
  </si>
  <si>
    <r>
      <t>Angaben im Tabellenblatt "</t>
    </r>
    <r>
      <rPr>
        <sz val="11"/>
        <color theme="5" tint="-0.249977111117893"/>
        <rFont val="Arial"/>
        <family val="2"/>
        <scheme val="minor"/>
      </rPr>
      <t>Basisdaten Gemeinde</t>
    </r>
    <r>
      <rPr>
        <sz val="11"/>
        <color theme="1"/>
        <rFont val="Arial"/>
        <family val="2"/>
        <scheme val="minor"/>
      </rPr>
      <t>" ausfüllen.</t>
    </r>
  </si>
  <si>
    <t>Effektive jährliche Kosten familienexterne Kinderbetreuung</t>
  </si>
  <si>
    <t>- effektive Prämien der obligatorischen Krankenpflegeversicherung 
  bis maximal die regionalen Durchschnittsprämien</t>
  </si>
  <si>
    <t>Grundlagen für die Berechnung</t>
  </si>
  <si>
    <t>Faktor (mindestens 5)</t>
  </si>
  <si>
    <t>Anspruchsvoraussetzungen erfüllt</t>
  </si>
  <si>
    <t>Anspruchsvoraussetzungen nicht erfüllt</t>
  </si>
  <si>
    <t xml:space="preserve"> </t>
  </si>
  <si>
    <t>Kind 4</t>
  </si>
  <si>
    <t>(bei mehr als 4 Kindern ausgeblendete Zeilen einblenden)</t>
  </si>
  <si>
    <t>Bezeichnungen / Namen (optional)</t>
  </si>
  <si>
    <t>Erwerbseinkommen erwachsene Person 2</t>
  </si>
  <si>
    <t>Erwerbseinkommen antragsstellende Person</t>
  </si>
  <si>
    <t>Total Erwerbseinkommen</t>
  </si>
  <si>
    <t>Betreffend Ziffer 2 der Verfügung:</t>
  </si>
  <si>
    <t>+</t>
  </si>
  <si>
    <t>=</t>
  </si>
  <si>
    <t>Einkommensgrenze</t>
  </si>
  <si>
    <t>Vermögensgrenze (§ 7 MBG i.V.m. § 3 Vo MBG, § gemäss Reglement)</t>
  </si>
  <si>
    <t>Betreffend Ziffer 3 der Verfügung:</t>
  </si>
  <si>
    <t>Massgebendes Einkommen (§ 8 Abs. 1 MBG i.V.m. § 4 Vo MBG)</t>
  </si>
  <si>
    <t xml:space="preserve">130 % SH-Grundbedarf </t>
  </si>
  <si>
    <t>-</t>
  </si>
  <si>
    <t>AHV-Beiträge für nicht erwerbstätige Personen</t>
  </si>
  <si>
    <t>sonstige wiederkehrende Ausgaben</t>
  </si>
  <si>
    <t>Mietzinsbeitrag (§ 5 Abs. 1 und 2 MBG)</t>
  </si>
  <si>
    <t>Jahresnettomiete zzgl. NK</t>
  </si>
  <si>
    <t>tragbares Mass der Mietzinsbelastung</t>
  </si>
  <si>
    <t>Mietzinsbeitrag</t>
  </si>
  <si>
    <t>pro Monat</t>
  </si>
  <si>
    <t>Mietzinsbeitrag &lt; Mietzinshöchstbeitrag</t>
  </si>
  <si>
    <t>effektive Prämien der obligatorischen Krankenpflegeversicherung bis maximal die regionalen Durchschnittsprämien</t>
  </si>
  <si>
    <t>Mietzinsbeitrags-Berechnung</t>
  </si>
  <si>
    <t>CHF</t>
  </si>
  <si>
    <t>effektive Prämien der obligatorischen Krankenpflegeversicherung 
bis maximal die regionalen Durchschnittsprämien</t>
  </si>
  <si>
    <t>AHV-Versichertennummer (AHVN13) der antragstellenden Person</t>
  </si>
  <si>
    <t>Nationalität der antragstellenden Person (Schweiz, Ausland)</t>
  </si>
  <si>
    <t>Ausländerkategorie der antragstellenden Person (bei AusländerInnen)</t>
  </si>
  <si>
    <t>Anzahl Personen im Haushalt</t>
  </si>
  <si>
    <t>Anzahl Kinder in Erstausbildung im Haushalt</t>
  </si>
  <si>
    <t>Datum des Zuzugs in den Kanton</t>
  </si>
  <si>
    <t>BFS-Code</t>
  </si>
  <si>
    <t>0000</t>
  </si>
  <si>
    <t>AHV-Nr.</t>
  </si>
  <si>
    <t>756.0000.0000.00</t>
  </si>
  <si>
    <t>Vorname</t>
  </si>
  <si>
    <t>Name</t>
  </si>
  <si>
    <t>Amtliche Vornamen / amtlicher Name (Nachname) der antragstellenden Person</t>
  </si>
  <si>
    <t>Nationalität</t>
  </si>
  <si>
    <t>Schweiz</t>
  </si>
  <si>
    <t>Ausland</t>
  </si>
  <si>
    <t>Nationalität / Aufenthaltsstatus</t>
  </si>
  <si>
    <t>Trennzeichen Datums-Auflistung</t>
  </si>
  <si>
    <t xml:space="preserve"> / </t>
  </si>
  <si>
    <t>Kennzahlen Mietzinsbeitrag</t>
  </si>
  <si>
    <t>effektive Jahresnettomiete bis maximal die angemessene Jahresnettomiete, die mindestens dem durch die Gemeinde festgelegten Mietzinsgrenzwert entspricht 
(§ 2 Abs. 2 Reglement), zuzüglich 20 % der Nettomiete als Nebenkosten</t>
  </si>
  <si>
    <r>
      <t xml:space="preserve">Einkommensgrenze </t>
    </r>
    <r>
      <rPr>
        <sz val="10"/>
        <rFont val="Arial"/>
        <family val="2"/>
        <scheme val="minor"/>
      </rPr>
      <t>(§ 6 MBG, § 2 Vo MBG, Gemeindereglement)</t>
    </r>
  </si>
  <si>
    <t>(§ 5 und 9 MBG i.V.m. § 5 Vo MBG, Gemeindereglement)</t>
  </si>
  <si>
    <r>
      <rPr>
        <b/>
        <sz val="10"/>
        <rFont val="Arial"/>
        <family val="2"/>
        <scheme val="minor"/>
      </rPr>
      <t>Mietzinshöchstbeitrag</t>
    </r>
    <r>
      <rPr>
        <sz val="10"/>
        <rFont val="Arial"/>
        <family val="2"/>
        <scheme val="minor"/>
      </rPr>
      <t xml:space="preserve"> (§ 5 Abs. 4 MBG i.V.m. § 1 Abs. 2 und 3 Vo MBG, Gemeindeglement)</t>
    </r>
  </si>
  <si>
    <t>Niederlassungs-
gemeinde</t>
  </si>
  <si>
    <t>BFS-Code der Niederlassungsgemeinde</t>
  </si>
  <si>
    <t>Geburtsdatum 
der Kinder im Haushalt</t>
  </si>
  <si>
    <r>
      <t>In das Tabellenblatt "</t>
    </r>
    <r>
      <rPr>
        <sz val="11"/>
        <color theme="5" tint="-0.249977111117893"/>
        <rFont val="Arial"/>
        <family val="2"/>
        <scheme val="minor"/>
      </rPr>
      <t>Eingabe</t>
    </r>
    <r>
      <rPr>
        <sz val="11"/>
        <color theme="1"/>
        <rFont val="Arial"/>
        <family val="2"/>
        <scheme val="minor"/>
      </rPr>
      <t>" wechseln und sicherstellen, dass Cursor in der Zelle C5 ("Name") steht</t>
    </r>
  </si>
  <si>
    <t>Jahreseinkommenshöchstgrenze (siehe Berechnung unten)</t>
  </si>
  <si>
    <t>Massgebliches Einkommen  (siehe Berechnung unten)</t>
  </si>
  <si>
    <t>Tragbares Mass der Mietzinsbelastung  (siehe Berechnung unten)</t>
  </si>
  <si>
    <t>75% * (Jahresnettoeinkommen - 130 % SH-Grundbedarf)</t>
  </si>
  <si>
    <t>Totalbetrag der Mietzinsbeiträge im akutellen 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</si>
</sst>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uot;_-;\-* #,##0\ &quot;€&quot;_-;_-* &quot;-&quot;\ &quot;€&quot;_-;_-@_-"/>
    <numFmt numFmtId="165" formatCode="_-* #,##0.00\ _€_-;\-* #,##0.00\ _€_-;_-* &quot;-&quot;??\ _€_-;_-@_-"/>
    <numFmt numFmtId="166" formatCode="_-* #,##0.00;\-* #,##0.00;_-* &quot;-&quot;??;_-@_-"/>
    <numFmt numFmtId="167" formatCode="&quot;CHF&quot;* #,##0.00"/>
    <numFmt numFmtId="168" formatCode="&quot;CHF&quot;\ #,##0.00"/>
  </numFmts>
  <fonts count="51" x14ac:knownFonts="1">
    <font>
      <sz val="11"/>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b/>
      <sz val="10.5"/>
      <color rgb="FFFA7D00"/>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sz val="10"/>
      <color rgb="FF006100"/>
      <name val="Arial"/>
      <family val="2"/>
      <scheme val="minor"/>
    </font>
    <font>
      <sz val="10"/>
      <color rgb="FF9C6500"/>
      <name val="Arial"/>
      <family val="2"/>
      <scheme val="minor"/>
    </font>
    <font>
      <sz val="10"/>
      <color rgb="FF9C0006"/>
      <name val="Arial"/>
      <family val="2"/>
      <scheme val="minor"/>
    </font>
    <font>
      <sz val="10"/>
      <color theme="1"/>
      <name val="Arial"/>
      <family val="2"/>
      <scheme val="minor"/>
    </font>
    <font>
      <u/>
      <sz val="11"/>
      <color theme="1"/>
      <name val="Arial"/>
      <family val="2"/>
      <scheme val="minor"/>
    </font>
    <font>
      <b/>
      <sz val="11"/>
      <color theme="1"/>
      <name val="Arial"/>
      <family val="2"/>
      <scheme val="minor"/>
    </font>
    <font>
      <sz val="11"/>
      <color theme="1"/>
      <name val="Arial"/>
      <family val="2"/>
      <scheme val="minor"/>
    </font>
    <font>
      <b/>
      <sz val="9"/>
      <color theme="1"/>
      <name val="Arial"/>
      <family val="2"/>
      <scheme val="minor"/>
    </font>
    <font>
      <sz val="11"/>
      <name val="Arial"/>
      <family val="2"/>
      <scheme val="minor"/>
    </font>
    <font>
      <sz val="11"/>
      <color theme="1"/>
      <name val="Segoe UI Symbol"/>
      <family val="2"/>
    </font>
    <font>
      <sz val="11"/>
      <color theme="1"/>
      <name val="Arial"/>
      <family val="1"/>
      <scheme val="minor"/>
    </font>
    <font>
      <sz val="11"/>
      <color rgb="FF000000"/>
      <name val="Arial"/>
      <family val="2"/>
      <scheme val="minor"/>
    </font>
    <font>
      <sz val="7"/>
      <color theme="1"/>
      <name val="Arial"/>
      <family val="2"/>
      <scheme val="minor"/>
    </font>
    <font>
      <sz val="11"/>
      <color rgb="FFFF0000"/>
      <name val="Arial"/>
      <family val="2"/>
      <scheme val="minor"/>
    </font>
    <font>
      <b/>
      <sz val="11"/>
      <color theme="8"/>
      <name val="Arial"/>
      <family val="2"/>
      <scheme val="minor"/>
    </font>
    <font>
      <sz val="11"/>
      <name val="Arial"/>
      <family val="2"/>
      <scheme val="major"/>
    </font>
    <font>
      <sz val="8"/>
      <name val="Arial"/>
      <family val="2"/>
      <scheme val="minor"/>
    </font>
    <font>
      <sz val="11"/>
      <color theme="8"/>
      <name val="Arial"/>
      <family val="2"/>
      <scheme val="minor"/>
    </font>
    <font>
      <sz val="16"/>
      <color theme="1"/>
      <name val="Arial"/>
      <family val="2"/>
      <scheme val="minor"/>
    </font>
    <font>
      <sz val="9"/>
      <color indexed="81"/>
      <name val="Segoe UI"/>
      <family val="2"/>
    </font>
    <font>
      <i/>
      <sz val="11"/>
      <color theme="1"/>
      <name val="Arial"/>
      <family val="2"/>
      <scheme val="minor"/>
    </font>
    <font>
      <b/>
      <sz val="10"/>
      <name val="Arial Nova Cond"/>
      <family val="2"/>
    </font>
    <font>
      <sz val="10"/>
      <name val="Arial Nova Cond"/>
      <family val="2"/>
    </font>
    <font>
      <b/>
      <sz val="11"/>
      <color theme="1"/>
      <name val="Arial Nova Cond"/>
      <family val="2"/>
    </font>
    <font>
      <b/>
      <sz val="11"/>
      <name val="Arial Nova Cond"/>
      <family val="2"/>
    </font>
    <font>
      <i/>
      <sz val="11"/>
      <name val="Arial"/>
      <family val="2"/>
      <scheme val="minor"/>
    </font>
    <font>
      <sz val="8"/>
      <color theme="1"/>
      <name val="Arial"/>
      <family val="2"/>
      <scheme val="minor"/>
    </font>
    <font>
      <sz val="11"/>
      <color theme="5" tint="-0.249977111117893"/>
      <name val="Arial"/>
      <family val="2"/>
      <scheme val="minor"/>
    </font>
    <font>
      <sz val="9"/>
      <color indexed="81"/>
      <name val="Segoe UI"/>
      <charset val="1"/>
    </font>
    <font>
      <i/>
      <sz val="10"/>
      <color rgb="FF000000"/>
      <name val="Arial"/>
      <family val="2"/>
      <scheme val="minor"/>
    </font>
    <font>
      <b/>
      <sz val="10"/>
      <color theme="1"/>
      <name val="Arial"/>
      <family val="2"/>
      <scheme val="minor"/>
    </font>
    <font>
      <i/>
      <sz val="10"/>
      <color theme="1"/>
      <name val="Arial"/>
      <family val="2"/>
      <scheme val="minor"/>
    </font>
    <font>
      <sz val="10"/>
      <color rgb="FF000000"/>
      <name val="Arial"/>
      <family val="2"/>
      <scheme val="minor"/>
    </font>
    <font>
      <sz val="9"/>
      <color theme="1"/>
      <name val="Arial"/>
      <family val="2"/>
      <scheme val="minor"/>
    </font>
    <font>
      <b/>
      <sz val="10"/>
      <name val="Arial"/>
      <family val="2"/>
      <scheme val="minor"/>
    </font>
    <font>
      <sz val="10"/>
      <name val="Arial"/>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2F8F8"/>
        <bgColor indexed="64"/>
      </patternFill>
    </fill>
    <fill>
      <patternFill patternType="solid">
        <fgColor theme="0"/>
        <bgColor indexed="64"/>
      </patternFill>
    </fill>
    <fill>
      <patternFill patternType="solid">
        <fgColor theme="0" tint="-4.9989318521683403E-2"/>
        <bgColor indexed="64"/>
      </patternFill>
    </fill>
  </fills>
  <borders count="3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theme="0"/>
      </right>
      <top/>
      <bottom/>
      <diagonal/>
    </border>
    <border>
      <left style="medium">
        <color theme="0"/>
      </left>
      <right/>
      <top/>
      <bottom/>
      <diagonal/>
    </border>
    <border>
      <left/>
      <right style="thick">
        <color theme="0"/>
      </right>
      <top/>
      <bottom style="thin">
        <color indexed="64"/>
      </bottom>
      <diagonal/>
    </border>
    <border>
      <left style="thick">
        <color theme="0"/>
      </left>
      <right/>
      <top/>
      <bottom style="thin">
        <color indexed="64"/>
      </bottom>
      <diagonal/>
    </border>
    <border>
      <left style="thin">
        <color indexed="64"/>
      </left>
      <right/>
      <top/>
      <bottom style="thin">
        <color indexed="64"/>
      </bottom>
      <diagonal/>
    </border>
    <border>
      <left/>
      <right/>
      <top style="thin">
        <color theme="3"/>
      </top>
      <bottom style="thin">
        <color indexed="64"/>
      </bottom>
      <diagonal/>
    </border>
    <border>
      <left/>
      <right style="thick">
        <color theme="0"/>
      </right>
      <top/>
      <bottom style="thin">
        <color theme="1"/>
      </bottom>
      <diagonal/>
    </border>
    <border>
      <left/>
      <right style="thick">
        <color theme="0"/>
      </right>
      <top style="thin">
        <color indexed="64"/>
      </top>
      <bottom style="thin">
        <color indexed="64"/>
      </bottom>
      <diagonal/>
    </border>
    <border>
      <left/>
      <right/>
      <top/>
      <bottom style="medium">
        <color indexed="64"/>
      </bottom>
      <diagonal/>
    </border>
    <border>
      <left/>
      <right style="thick">
        <color theme="0"/>
      </right>
      <top/>
      <bottom style="medium">
        <color indexed="64"/>
      </bottom>
      <diagonal/>
    </border>
    <border>
      <left/>
      <right/>
      <top style="thin">
        <color theme="1"/>
      </top>
      <bottom style="thin">
        <color theme="1"/>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auto="1"/>
      </bottom>
      <diagonal/>
    </border>
    <border>
      <left/>
      <right/>
      <top/>
      <bottom style="thin">
        <color theme="1"/>
      </bottom>
      <diagonal/>
    </border>
    <border>
      <left style="thin">
        <color indexed="64"/>
      </left>
      <right/>
      <top/>
      <bottom/>
      <diagonal/>
    </border>
    <border>
      <left/>
      <right style="thin">
        <color indexed="64"/>
      </right>
      <top style="thin">
        <color theme="1"/>
      </top>
      <bottom style="thin">
        <color theme="1"/>
      </bottom>
      <diagonal/>
    </border>
    <border>
      <left/>
      <right/>
      <top style="thin">
        <color indexed="64"/>
      </top>
      <bottom/>
      <diagonal/>
    </border>
    <border>
      <left style="medium">
        <color theme="0"/>
      </left>
      <right/>
      <top/>
      <bottom style="thin">
        <color auto="1"/>
      </bottom>
      <diagonal/>
    </border>
    <border>
      <left style="thin">
        <color theme="1"/>
      </left>
      <right/>
      <top/>
      <bottom/>
      <diagonal/>
    </border>
    <border>
      <left style="thin">
        <color theme="1"/>
      </left>
      <right style="thick">
        <color theme="0"/>
      </right>
      <top/>
      <bottom/>
      <diagonal/>
    </border>
    <border>
      <left style="thin">
        <color theme="1"/>
      </left>
      <right style="thick">
        <color theme="0"/>
      </right>
      <top/>
      <bottom style="thin">
        <color theme="1"/>
      </bottom>
      <diagonal/>
    </border>
    <border>
      <left/>
      <right style="thick">
        <color theme="0"/>
      </right>
      <top style="thin">
        <color theme="1"/>
      </top>
      <bottom style="medium">
        <color theme="1"/>
      </bottom>
      <diagonal/>
    </border>
    <border>
      <left/>
      <right/>
      <top/>
      <bottom style="medium">
        <color theme="1"/>
      </bottom>
      <diagonal/>
    </border>
    <border>
      <left/>
      <right/>
      <top style="thin">
        <color theme="1"/>
      </top>
      <bottom/>
      <diagonal/>
    </border>
    <border>
      <left/>
      <right style="thin">
        <color theme="1"/>
      </right>
      <top style="thin">
        <color theme="1"/>
      </top>
      <bottom style="thin">
        <color theme="1"/>
      </bottom>
      <diagonal/>
    </border>
  </borders>
  <cellStyleXfs count="55">
    <xf numFmtId="0" fontId="0" fillId="0" borderId="0"/>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0" fontId="15" fillId="2" borderId="0" applyNumberFormat="0" applyBorder="0" applyAlignment="0" applyProtection="0"/>
    <xf numFmtId="0" fontId="17" fillId="3" borderId="0" applyNumberFormat="0" applyBorder="0" applyAlignment="0" applyProtection="0"/>
    <xf numFmtId="0" fontId="16" fillId="4" borderId="0" applyNumberFormat="0" applyBorder="0" applyAlignment="0" applyProtection="0"/>
    <xf numFmtId="0" fontId="3" fillId="5" borderId="1" applyNumberFormat="0" applyAlignment="0" applyProtection="0"/>
    <xf numFmtId="0" fontId="4" fillId="6" borderId="2" applyNumberFormat="0" applyAlignment="0" applyProtection="0"/>
    <xf numFmtId="0" fontId="5" fillId="6" borderId="1" applyNumberFormat="0" applyAlignment="0" applyProtection="0"/>
    <xf numFmtId="0" fontId="7" fillId="0" borderId="3" applyNumberFormat="0" applyFill="0" applyAlignment="0" applyProtection="0"/>
    <xf numFmtId="0" fontId="9" fillId="7" borderId="4" applyNumberFormat="0" applyAlignment="0" applyProtection="0"/>
    <xf numFmtId="0" fontId="8" fillId="0" borderId="0" applyNumberFormat="0" applyFill="0" applyBorder="0" applyAlignment="0" applyProtection="0"/>
    <xf numFmtId="0" fontId="3" fillId="32" borderId="5" applyNumberFormat="0" applyAlignment="0" applyProtection="0"/>
    <xf numFmtId="0" fontId="6" fillId="0" borderId="0" applyNumberFormat="0" applyFill="0" applyBorder="0" applyAlignment="0" applyProtection="0"/>
    <xf numFmtId="0" fontId="10" fillId="0" borderId="6" applyNumberFormat="0" applyFill="0" applyAlignment="0" applyProtection="0"/>
    <xf numFmtId="0" fontId="19" fillId="0" borderId="0" applyNumberFormat="0" applyFill="0" applyBorder="0" applyAlignment="0" applyProtection="0"/>
    <xf numFmtId="0" fontId="14"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4" fillId="31" borderId="0" applyNumberFormat="0" applyBorder="0" applyAlignment="0" applyProtection="0"/>
    <xf numFmtId="4" fontId="3" fillId="0" borderId="0" applyFont="0" applyFill="0" applyBorder="0" applyProtection="0"/>
    <xf numFmtId="9" fontId="18" fillId="0" borderId="0" applyFont="0" applyFill="0" applyBorder="0" applyAlignment="0" applyProtection="0"/>
    <xf numFmtId="0" fontId="21" fillId="0" borderId="0"/>
    <xf numFmtId="14" fontId="21" fillId="33" borderId="20" applyNumberFormat="0" applyAlignment="0">
      <alignment horizontal="left"/>
      <protection locked="0"/>
    </xf>
    <xf numFmtId="9" fontId="21" fillId="33" borderId="7" applyNumberFormat="0" applyFont="0" applyBorder="0" applyAlignment="0">
      <alignment horizontal="center"/>
      <protection locked="0"/>
    </xf>
    <xf numFmtId="0" fontId="21" fillId="35" borderId="0" applyNumberFormat="0" applyFont="0" applyBorder="0" applyAlignment="0" applyProtection="0"/>
    <xf numFmtId="0" fontId="27" fillId="0" borderId="0">
      <alignment horizontal="left" vertical="center" indent="1"/>
    </xf>
    <xf numFmtId="0" fontId="33" fillId="0" borderId="0" applyNumberFormat="0" applyFill="0" applyBorder="0" applyAlignment="0" applyProtection="0"/>
  </cellStyleXfs>
  <cellXfs count="190">
    <xf numFmtId="0" fontId="0" fillId="0" borderId="0" xfId="0"/>
    <xf numFmtId="0" fontId="11" fillId="0" borderId="0" xfId="6"/>
    <xf numFmtId="0" fontId="20" fillId="0" borderId="0" xfId="0" applyFont="1"/>
    <xf numFmtId="0" fontId="0" fillId="0" borderId="0" xfId="0" applyAlignment="1">
      <alignment horizontal="left"/>
    </xf>
    <xf numFmtId="1" fontId="0" fillId="0" borderId="0" xfId="0" applyNumberFormat="1"/>
    <xf numFmtId="4" fontId="0" fillId="0" borderId="0" xfId="0" applyNumberFormat="1"/>
    <xf numFmtId="0" fontId="12" fillId="0" borderId="0" xfId="7" applyAlignment="1">
      <alignment vertical="center"/>
    </xf>
    <xf numFmtId="0" fontId="0" fillId="0" borderId="7" xfId="0" applyBorder="1"/>
    <xf numFmtId="3" fontId="0" fillId="0" borderId="0" xfId="47" applyNumberFormat="1" applyFont="1"/>
    <xf numFmtId="0" fontId="0" fillId="0" borderId="7" xfId="0" applyBorder="1" applyAlignment="1">
      <alignment horizontal="left" vertical="center"/>
    </xf>
    <xf numFmtId="0" fontId="0" fillId="33" borderId="7" xfId="51" applyNumberFormat="1" applyFont="1" applyBorder="1" applyAlignment="1">
      <protection locked="0"/>
    </xf>
    <xf numFmtId="3" fontId="0" fillId="0" borderId="8" xfId="47" applyNumberFormat="1" applyFont="1" applyBorder="1"/>
    <xf numFmtId="4" fontId="0" fillId="0" borderId="0" xfId="47" applyFont="1"/>
    <xf numFmtId="0" fontId="0" fillId="0" borderId="8" xfId="0" applyBorder="1"/>
    <xf numFmtId="4" fontId="0" fillId="0" borderId="8" xfId="0" applyNumberFormat="1" applyBorder="1"/>
    <xf numFmtId="0" fontId="20" fillId="0" borderId="7" xfId="0" applyFont="1" applyBorder="1"/>
    <xf numFmtId="0" fontId="0" fillId="33" borderId="7" xfId="51" applyNumberFormat="1" applyFont="1" applyBorder="1" applyAlignment="1">
      <alignment horizontal="center"/>
      <protection locked="0"/>
    </xf>
    <xf numFmtId="0" fontId="24" fillId="33" borderId="7" xfId="51" applyNumberFormat="1" applyFont="1" applyBorder="1" applyAlignment="1">
      <protection locked="0"/>
    </xf>
    <xf numFmtId="0" fontId="25" fillId="33" borderId="7" xfId="51" applyNumberFormat="1" applyFont="1" applyBorder="1" applyAlignment="1">
      <protection locked="0"/>
    </xf>
    <xf numFmtId="0" fontId="20" fillId="0" borderId="9" xfId="0" applyFont="1" applyBorder="1"/>
    <xf numFmtId="0" fontId="12" fillId="0" borderId="7" xfId="7" applyBorder="1" applyAlignment="1">
      <alignment vertical="center"/>
    </xf>
    <xf numFmtId="1" fontId="0" fillId="0" borderId="7" xfId="0" applyNumberFormat="1" applyBorder="1"/>
    <xf numFmtId="0" fontId="11" fillId="0" borderId="0" xfId="6" applyAlignment="1">
      <alignment vertical="center"/>
    </xf>
    <xf numFmtId="0" fontId="0" fillId="0" borderId="0" xfId="0" applyAlignment="1">
      <alignment vertical="center"/>
    </xf>
    <xf numFmtId="0" fontId="33" fillId="0" borderId="0" xfId="54" applyAlignment="1">
      <alignment vertical="center"/>
    </xf>
    <xf numFmtId="0" fontId="0" fillId="33" borderId="9" xfId="51" applyNumberFormat="1" applyFont="1" applyBorder="1" applyAlignment="1">
      <alignment vertical="center"/>
      <protection locked="0"/>
    </xf>
    <xf numFmtId="0" fontId="20" fillId="0" borderId="0" xfId="0" applyFont="1" applyAlignment="1">
      <alignment vertical="center"/>
    </xf>
    <xf numFmtId="0" fontId="20" fillId="0" borderId="7" xfId="0" applyFont="1" applyBorder="1" applyAlignment="1">
      <alignment horizontal="center" vertical="center"/>
    </xf>
    <xf numFmtId="0" fontId="0" fillId="0" borderId="7" xfId="0" applyBorder="1" applyAlignment="1">
      <alignment horizontal="center" vertical="center"/>
    </xf>
    <xf numFmtId="3" fontId="0" fillId="33" borderId="7" xfId="51" applyNumberFormat="1" applyFont="1" applyBorder="1" applyAlignment="1">
      <alignment vertical="center"/>
      <protection locked="0"/>
    </xf>
    <xf numFmtId="3" fontId="0" fillId="0" borderId="7" xfId="47" applyNumberFormat="1" applyFont="1" applyBorder="1" applyAlignment="1">
      <alignment vertical="center"/>
    </xf>
    <xf numFmtId="0" fontId="26" fillId="0" borderId="0" xfId="0" applyFont="1" applyAlignment="1">
      <alignment vertical="center"/>
    </xf>
    <xf numFmtId="0" fontId="0" fillId="33" borderId="9" xfId="51" applyNumberFormat="1" applyFont="1" applyBorder="1" applyAlignment="1">
      <alignment horizontal="center" vertical="center"/>
      <protection locked="0"/>
    </xf>
    <xf numFmtId="3" fontId="0" fillId="33" borderId="7" xfId="51" applyNumberFormat="1" applyFont="1" applyBorder="1" applyAlignment="1">
      <alignment horizontal="right" vertical="center"/>
      <protection locked="0"/>
    </xf>
    <xf numFmtId="3" fontId="0" fillId="0" borderId="7" xfId="47" applyNumberFormat="1" applyFont="1" applyBorder="1" applyAlignment="1">
      <alignment horizontal="right" vertical="center"/>
    </xf>
    <xf numFmtId="0" fontId="21" fillId="33" borderId="20" xfId="50" applyNumberFormat="1" applyAlignment="1">
      <alignment horizontal="center" vertical="center"/>
      <protection locked="0"/>
    </xf>
    <xf numFmtId="0" fontId="29" fillId="0" borderId="0" xfId="0" applyFont="1" applyAlignment="1">
      <alignment horizontal="left" vertical="center"/>
    </xf>
    <xf numFmtId="0" fontId="0" fillId="0" borderId="7" xfId="0" applyBorder="1" applyAlignment="1">
      <alignment vertical="center"/>
    </xf>
    <xf numFmtId="0" fontId="28" fillId="0" borderId="0" xfId="0" applyFont="1" applyAlignment="1">
      <alignment vertical="center"/>
    </xf>
    <xf numFmtId="9" fontId="0" fillId="33" borderId="9" xfId="51" applyFont="1" applyBorder="1" applyAlignment="1">
      <alignment horizontal="center" vertical="center"/>
      <protection locked="0"/>
    </xf>
    <xf numFmtId="0" fontId="22" fillId="0" borderId="7"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7"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9" fontId="0" fillId="33" borderId="7" xfId="51" applyFont="1" applyBorder="1" applyAlignment="1">
      <alignment vertical="center"/>
      <protection locked="0"/>
    </xf>
    <xf numFmtId="9" fontId="0" fillId="33" borderId="7" xfId="51" applyFont="1" applyBorder="1" applyAlignment="1">
      <alignment horizontal="center" vertical="center"/>
      <protection locked="0"/>
    </xf>
    <xf numFmtId="0" fontId="27" fillId="0" borderId="0" xfId="53">
      <alignment horizontal="left" vertical="center" indent="1"/>
    </xf>
    <xf numFmtId="9" fontId="0" fillId="33" borderId="9" xfId="48" applyFont="1" applyFill="1" applyBorder="1" applyAlignment="1" applyProtection="1">
      <alignment horizontal="center" vertical="center"/>
      <protection locked="0"/>
    </xf>
    <xf numFmtId="0" fontId="0" fillId="0" borderId="0" xfId="0" applyAlignment="1">
      <alignment horizontal="left" vertical="center"/>
    </xf>
    <xf numFmtId="0" fontId="0" fillId="0" borderId="0" xfId="52" applyFont="1" applyFill="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7" fillId="0" borderId="0" xfId="52" applyFont="1" applyFill="1" applyAlignment="1">
      <alignment horizontal="left" vertical="center"/>
    </xf>
    <xf numFmtId="0" fontId="21" fillId="0" borderId="0" xfId="49" applyAlignment="1">
      <alignment vertical="center"/>
    </xf>
    <xf numFmtId="14" fontId="21" fillId="33" borderId="20" xfId="50" applyAlignment="1">
      <alignment horizontal="center" vertical="center"/>
      <protection locked="0"/>
    </xf>
    <xf numFmtId="14" fontId="0" fillId="0" borderId="19" xfId="0" applyNumberFormat="1" applyBorder="1" applyAlignment="1">
      <alignment horizontal="center" vertical="center"/>
    </xf>
    <xf numFmtId="0" fontId="0" fillId="0" borderId="0" xfId="0" applyAlignment="1">
      <alignment horizontal="center" vertical="center"/>
    </xf>
    <xf numFmtId="0" fontId="13" fillId="0" borderId="0" xfId="8" applyAlignment="1">
      <alignment vertical="center"/>
    </xf>
    <xf numFmtId="0" fontId="30" fillId="0" borderId="9" xfId="8" applyFont="1" applyBorder="1" applyAlignment="1">
      <alignment vertical="center"/>
    </xf>
    <xf numFmtId="1" fontId="0" fillId="0" borderId="9" xfId="0" applyNumberFormat="1" applyBorder="1" applyAlignment="1">
      <alignment horizontal="center" vertical="center"/>
    </xf>
    <xf numFmtId="0" fontId="0" fillId="0" borderId="14" xfId="52" applyFont="1" applyFill="1" applyBorder="1" applyAlignment="1">
      <alignment vertical="center"/>
    </xf>
    <xf numFmtId="0" fontId="0" fillId="0" borderId="15" xfId="52" applyFont="1" applyFill="1" applyBorder="1" applyAlignment="1">
      <alignment vertical="center"/>
    </xf>
    <xf numFmtId="0" fontId="30" fillId="0" borderId="13" xfId="8" applyFont="1" applyBorder="1" applyAlignment="1">
      <alignment vertical="center"/>
    </xf>
    <xf numFmtId="1" fontId="0" fillId="0" borderId="13" xfId="0" applyNumberFormat="1" applyBorder="1" applyAlignment="1">
      <alignment horizontal="center" vertical="center"/>
    </xf>
    <xf numFmtId="0" fontId="21" fillId="34" borderId="14" xfId="50" applyNumberFormat="1" applyFill="1" applyBorder="1" applyAlignment="1">
      <alignment horizontal="center" vertical="center"/>
      <protection locked="0"/>
    </xf>
    <xf numFmtId="1" fontId="21" fillId="34" borderId="14" xfId="50" applyNumberFormat="1" applyFill="1" applyBorder="1" applyAlignment="1">
      <alignment horizontal="center" vertical="center"/>
      <protection locked="0"/>
    </xf>
    <xf numFmtId="0" fontId="21" fillId="34" borderId="14" xfId="50" applyNumberFormat="1" applyFill="1" applyBorder="1" applyAlignment="1">
      <alignment horizontal="left" vertical="center"/>
      <protection locked="0"/>
    </xf>
    <xf numFmtId="9" fontId="0" fillId="0" borderId="18" xfId="48" applyFont="1" applyFill="1" applyBorder="1" applyAlignment="1">
      <alignment horizontal="center" vertical="center"/>
    </xf>
    <xf numFmtId="9" fontId="0" fillId="0" borderId="0" xfId="48" applyFont="1" applyFill="1" applyBorder="1" applyAlignment="1">
      <alignment horizontal="center" vertical="center"/>
    </xf>
    <xf numFmtId="4" fontId="21" fillId="33" borderId="20" xfId="50" applyNumberFormat="1" applyAlignment="1">
      <alignment vertical="center"/>
      <protection locked="0"/>
    </xf>
    <xf numFmtId="4" fontId="21" fillId="33" borderId="20" xfId="50" applyNumberFormat="1" applyAlignment="1">
      <alignment horizontal="right" vertical="center"/>
      <protection locked="0"/>
    </xf>
    <xf numFmtId="4" fontId="0" fillId="0" borderId="0" xfId="47" applyFont="1" applyFill="1" applyBorder="1" applyAlignment="1">
      <alignment vertical="center"/>
    </xf>
    <xf numFmtId="0" fontId="0" fillId="0" borderId="0" xfId="49" applyFont="1" applyAlignment="1">
      <alignment vertical="center" wrapText="1"/>
    </xf>
    <xf numFmtId="4" fontId="21" fillId="0" borderId="20" xfId="50" applyNumberFormat="1" applyFill="1" applyAlignment="1" applyProtection="1">
      <alignment horizontal="right" vertical="center"/>
    </xf>
    <xf numFmtId="4" fontId="0" fillId="0" borderId="0" xfId="0" applyNumberFormat="1" applyAlignment="1">
      <alignment vertical="center"/>
    </xf>
    <xf numFmtId="0" fontId="20" fillId="0" borderId="0" xfId="49" applyFont="1" applyAlignment="1">
      <alignment vertical="center"/>
    </xf>
    <xf numFmtId="0" fontId="22" fillId="0" borderId="0" xfId="49" applyFont="1" applyAlignment="1">
      <alignment vertical="center"/>
    </xf>
    <xf numFmtId="0" fontId="27" fillId="0" borderId="0" xfId="52" applyFont="1" applyFill="1" applyBorder="1" applyAlignment="1">
      <alignment horizontal="left" vertical="center"/>
    </xf>
    <xf numFmtId="0" fontId="23" fillId="0" borderId="0" xfId="49" applyFont="1" applyAlignment="1">
      <alignment vertical="center"/>
    </xf>
    <xf numFmtId="0" fontId="0" fillId="0" borderId="0" xfId="49" applyFont="1" applyAlignment="1">
      <alignment vertical="center"/>
    </xf>
    <xf numFmtId="4" fontId="0" fillId="0" borderId="0" xfId="52" applyNumberFormat="1" applyFont="1" applyFill="1" applyAlignment="1">
      <alignment vertical="center"/>
    </xf>
    <xf numFmtId="4" fontId="0" fillId="0" borderId="0" xfId="52" applyNumberFormat="1" applyFont="1" applyFill="1" applyBorder="1" applyAlignment="1">
      <alignment vertical="center"/>
    </xf>
    <xf numFmtId="0" fontId="20" fillId="0" borderId="9" xfId="49" applyFont="1" applyBorder="1" applyAlignment="1">
      <alignment vertical="center"/>
    </xf>
    <xf numFmtId="0" fontId="20" fillId="0" borderId="9" xfId="52" applyFont="1" applyFill="1" applyBorder="1" applyAlignment="1">
      <alignment vertical="center"/>
    </xf>
    <xf numFmtId="4" fontId="20" fillId="0" borderId="9" xfId="47" applyFont="1" applyBorder="1" applyAlignment="1">
      <alignment vertical="center"/>
    </xf>
    <xf numFmtId="4" fontId="20" fillId="0" borderId="0" xfId="47" applyFont="1" applyBorder="1" applyAlignment="1">
      <alignment vertical="center"/>
    </xf>
    <xf numFmtId="0" fontId="21" fillId="0" borderId="13" xfId="49" applyBorder="1" applyAlignment="1">
      <alignment vertical="center"/>
    </xf>
    <xf numFmtId="0" fontId="0" fillId="0" borderId="13" xfId="52" applyFont="1" applyFill="1" applyBorder="1" applyAlignment="1">
      <alignment vertical="center"/>
    </xf>
    <xf numFmtId="4" fontId="0" fillId="0" borderId="13" xfId="0" applyNumberFormat="1" applyBorder="1" applyAlignment="1">
      <alignment vertical="center"/>
    </xf>
    <xf numFmtId="0" fontId="13" fillId="0" borderId="0" xfId="8" applyAlignment="1">
      <alignment horizontal="left" vertical="center"/>
    </xf>
    <xf numFmtId="0" fontId="21" fillId="0" borderId="0" xfId="49" applyAlignment="1">
      <alignment horizontal="left" vertical="center"/>
    </xf>
    <xf numFmtId="0" fontId="21" fillId="0" borderId="0" xfId="49" quotePrefix="1" applyAlignment="1">
      <alignment horizontal="left" vertical="center"/>
    </xf>
    <xf numFmtId="4" fontId="21" fillId="0" borderId="23" xfId="50" applyNumberFormat="1" applyFill="1" applyBorder="1" applyAlignment="1" applyProtection="1">
      <alignment horizontal="right" vertical="center"/>
    </xf>
    <xf numFmtId="4" fontId="0" fillId="0" borderId="22" xfId="47" applyFont="1" applyFill="1" applyBorder="1" applyAlignment="1">
      <alignment vertical="center"/>
    </xf>
    <xf numFmtId="4" fontId="0" fillId="0" borderId="17" xfId="47" applyFont="1" applyFill="1" applyBorder="1" applyAlignment="1">
      <alignment vertical="center"/>
    </xf>
    <xf numFmtId="0" fontId="0" fillId="0" borderId="0" xfId="0" applyAlignment="1">
      <alignment horizontal="left" vertical="center" indent="1"/>
    </xf>
    <xf numFmtId="0" fontId="27" fillId="0" borderId="0" xfId="0" applyFont="1" applyAlignment="1">
      <alignment horizontal="left" vertical="center" indent="1"/>
    </xf>
    <xf numFmtId="0" fontId="0" fillId="0" borderId="0" xfId="52" applyFont="1" applyFill="1" applyAlignment="1">
      <alignment horizontal="left" vertical="center" indent="1"/>
    </xf>
    <xf numFmtId="0" fontId="22" fillId="0" borderId="0" xfId="49" applyFont="1" applyAlignment="1">
      <alignment horizontal="left" vertical="center" indent="1"/>
    </xf>
    <xf numFmtId="4" fontId="0" fillId="0" borderId="13" xfId="52" applyNumberFormat="1" applyFont="1" applyFill="1" applyBorder="1" applyAlignment="1">
      <alignment vertical="center"/>
    </xf>
    <xf numFmtId="4" fontId="21" fillId="34" borderId="26" xfId="50" applyNumberFormat="1" applyFill="1" applyBorder="1" applyAlignment="1" applyProtection="1">
      <alignment horizontal="right" vertical="center"/>
    </xf>
    <xf numFmtId="0" fontId="27" fillId="0" borderId="0" xfId="52" applyFont="1" applyFill="1" applyAlignment="1">
      <alignment horizontal="center" vertical="center"/>
    </xf>
    <xf numFmtId="0" fontId="27" fillId="0" borderId="0" xfId="0" applyFont="1" applyAlignment="1">
      <alignment horizontal="center" vertical="center"/>
    </xf>
    <xf numFmtId="9" fontId="21" fillId="33" borderId="27" xfId="50" applyNumberFormat="1" applyBorder="1" applyAlignment="1">
      <alignment horizontal="center" vertical="center"/>
      <protection locked="0"/>
    </xf>
    <xf numFmtId="9" fontId="21" fillId="0" borderId="27" xfId="50" applyNumberFormat="1" applyFill="1" applyBorder="1" applyAlignment="1" applyProtection="1">
      <alignment horizontal="center" vertical="center"/>
    </xf>
    <xf numFmtId="0" fontId="0" fillId="0" borderId="28" xfId="52" applyFont="1" applyFill="1" applyBorder="1" applyAlignment="1">
      <alignment vertical="center"/>
    </xf>
    <xf numFmtId="9" fontId="21" fillId="33" borderId="29" xfId="50" applyNumberFormat="1" applyBorder="1" applyAlignment="1">
      <alignment horizontal="center" vertical="center"/>
      <protection locked="0"/>
    </xf>
    <xf numFmtId="4" fontId="0" fillId="0" borderId="24" xfId="0" applyNumberFormat="1" applyBorder="1" applyAlignment="1">
      <alignment vertical="center"/>
    </xf>
    <xf numFmtId="4" fontId="21" fillId="0" borderId="9" xfId="50" applyNumberFormat="1" applyFill="1" applyBorder="1" applyAlignment="1" applyProtection="1">
      <alignment vertical="center"/>
    </xf>
    <xf numFmtId="4" fontId="0" fillId="0" borderId="13" xfId="47" applyFont="1" applyFill="1" applyBorder="1" applyAlignment="1" applyProtection="1">
      <alignment vertical="center"/>
    </xf>
    <xf numFmtId="4" fontId="0" fillId="0" borderId="9" xfId="0" applyNumberFormat="1" applyBorder="1" applyAlignment="1">
      <alignment vertical="center"/>
    </xf>
    <xf numFmtId="4" fontId="23" fillId="0" borderId="30" xfId="50" applyNumberFormat="1" applyFont="1" applyFill="1" applyBorder="1" applyAlignment="1" applyProtection="1">
      <alignment vertical="center"/>
    </xf>
    <xf numFmtId="4" fontId="0" fillId="0" borderId="30" xfId="52" applyNumberFormat="1" applyFont="1" applyFill="1" applyBorder="1" applyAlignment="1">
      <alignment vertical="center"/>
    </xf>
    <xf numFmtId="4" fontId="0" fillId="0" borderId="30" xfId="0" applyNumberFormat="1" applyBorder="1" applyAlignment="1">
      <alignment vertical="center"/>
    </xf>
    <xf numFmtId="0" fontId="20" fillId="0" borderId="0" xfId="0" applyFont="1" applyAlignment="1">
      <alignment horizontal="left"/>
    </xf>
    <xf numFmtId="0" fontId="19" fillId="0" borderId="0" xfId="22" applyAlignment="1">
      <alignment horizontal="left"/>
    </xf>
    <xf numFmtId="4" fontId="21" fillId="33" borderId="27" xfId="50" applyNumberFormat="1" applyBorder="1" applyAlignment="1">
      <alignment horizontal="right" vertical="center"/>
      <protection locked="0"/>
    </xf>
    <xf numFmtId="4" fontId="21" fillId="34" borderId="17" xfId="50" applyNumberFormat="1" applyFill="1" applyBorder="1" applyAlignment="1" applyProtection="1">
      <alignment horizontal="right" vertical="center"/>
    </xf>
    <xf numFmtId="0" fontId="0" fillId="0" borderId="32" xfId="52" applyFont="1" applyFill="1" applyBorder="1" applyAlignment="1">
      <alignment vertical="center"/>
    </xf>
    <xf numFmtId="4" fontId="21" fillId="34" borderId="33" xfId="50" applyNumberFormat="1" applyFill="1" applyBorder="1" applyAlignment="1" applyProtection="1">
      <alignment horizontal="right" vertical="center"/>
    </xf>
    <xf numFmtId="4" fontId="21" fillId="34" borderId="34" xfId="50" applyNumberFormat="1" applyFill="1" applyBorder="1" applyAlignment="1" applyProtection="1">
      <alignment horizontal="right" vertical="center"/>
    </xf>
    <xf numFmtId="0" fontId="27" fillId="0" borderId="0" xfId="52" applyFont="1" applyFill="1" applyBorder="1" applyAlignment="1">
      <alignment horizontal="center" vertical="center"/>
    </xf>
    <xf numFmtId="0" fontId="35" fillId="0" borderId="0" xfId="49" applyFont="1" applyAlignment="1">
      <alignment vertical="center"/>
    </xf>
    <xf numFmtId="4" fontId="21" fillId="34" borderId="35" xfId="50" applyNumberFormat="1" applyFill="1" applyBorder="1" applyAlignment="1" applyProtection="1">
      <alignment horizontal="right" vertical="center"/>
    </xf>
    <xf numFmtId="4" fontId="20" fillId="0" borderId="10" xfId="0" applyNumberFormat="1" applyFont="1" applyBorder="1" applyAlignment="1">
      <alignment vertical="center"/>
    </xf>
    <xf numFmtId="0" fontId="0" fillId="0" borderId="36" xfId="52" applyFont="1" applyFill="1" applyBorder="1" applyAlignment="1">
      <alignment vertical="center"/>
    </xf>
    <xf numFmtId="4" fontId="21" fillId="33" borderId="25" xfId="50" applyNumberFormat="1" applyBorder="1" applyAlignment="1">
      <alignment horizontal="right" vertical="center"/>
      <protection locked="0"/>
    </xf>
    <xf numFmtId="3" fontId="36" fillId="0" borderId="7" xfId="47" applyNumberFormat="1" applyFont="1" applyBorder="1" applyAlignment="1">
      <alignment horizontal="center" vertical="center"/>
    </xf>
    <xf numFmtId="3" fontId="37" fillId="0" borderId="7" xfId="47" applyNumberFormat="1" applyFont="1" applyBorder="1" applyAlignment="1">
      <alignment horizontal="left" vertical="center"/>
    </xf>
    <xf numFmtId="0" fontId="23" fillId="0" borderId="0" xfId="0" applyFont="1" applyAlignment="1">
      <alignment vertical="center"/>
    </xf>
    <xf numFmtId="3" fontId="38" fillId="0" borderId="7" xfId="47" applyNumberFormat="1" applyFont="1" applyBorder="1" applyAlignment="1">
      <alignment horizontal="center" vertical="center"/>
    </xf>
    <xf numFmtId="3" fontId="39" fillId="0" borderId="7" xfId="47" applyNumberFormat="1" applyFont="1" applyBorder="1" applyAlignment="1">
      <alignment horizontal="right" vertical="center"/>
    </xf>
    <xf numFmtId="9" fontId="39" fillId="0" borderId="7" xfId="48" applyFont="1" applyBorder="1" applyAlignment="1">
      <alignment horizontal="right" vertical="center"/>
    </xf>
    <xf numFmtId="0" fontId="32" fillId="0" borderId="0" xfId="0" applyFont="1"/>
    <xf numFmtId="14" fontId="21" fillId="33" borderId="27" xfId="50" applyBorder="1" applyAlignment="1">
      <alignment horizontal="center" vertical="center"/>
      <protection locked="0"/>
    </xf>
    <xf numFmtId="14" fontId="21" fillId="33" borderId="16" xfId="50" applyNumberFormat="1" applyBorder="1" applyAlignment="1">
      <alignment horizontal="center" vertical="center"/>
      <protection locked="0"/>
    </xf>
    <xf numFmtId="14" fontId="21" fillId="33" borderId="21" xfId="50" applyNumberFormat="1" applyBorder="1" applyAlignment="1">
      <alignment horizontal="center" vertical="center"/>
      <protection locked="0"/>
    </xf>
    <xf numFmtId="4" fontId="40" fillId="33" borderId="0" xfId="47" applyFont="1" applyFill="1" applyBorder="1" applyAlignment="1" applyProtection="1">
      <alignment vertical="center"/>
      <protection locked="0"/>
    </xf>
    <xf numFmtId="0" fontId="41" fillId="0" borderId="0" xfId="53" applyFont="1" applyAlignment="1">
      <alignment horizontal="left" vertical="top"/>
    </xf>
    <xf numFmtId="49" fontId="0" fillId="0" borderId="0" xfId="0" applyNumberFormat="1" applyAlignment="1">
      <alignment horizontal="left"/>
    </xf>
    <xf numFmtId="0" fontId="27" fillId="0" borderId="14" xfId="52" applyFont="1" applyFill="1" applyBorder="1" applyAlignment="1">
      <alignment horizontal="center" vertical="center" wrapText="1"/>
    </xf>
    <xf numFmtId="4" fontId="23" fillId="0" borderId="9" xfId="50" applyNumberFormat="1" applyFont="1" applyFill="1" applyBorder="1" applyAlignment="1" applyProtection="1">
      <alignment vertical="center"/>
    </xf>
    <xf numFmtId="0" fontId="0" fillId="35" borderId="0" xfId="52" applyFont="1" applyBorder="1" applyAlignment="1">
      <alignment horizontal="center" vertical="center"/>
    </xf>
    <xf numFmtId="0" fontId="27" fillId="0" borderId="0" xfId="52" applyFont="1" applyFill="1" applyBorder="1" applyAlignment="1">
      <alignment horizontal="left" vertical="center" indent="1"/>
    </xf>
    <xf numFmtId="0" fontId="21" fillId="33" borderId="20" xfId="50" applyNumberFormat="1" applyAlignment="1">
      <alignment vertical="center"/>
      <protection locked="0"/>
    </xf>
    <xf numFmtId="4" fontId="21" fillId="33" borderId="38" xfId="50" applyNumberFormat="1" applyBorder="1" applyAlignment="1">
      <alignment horizontal="right" vertical="center"/>
      <protection locked="0"/>
    </xf>
    <xf numFmtId="0" fontId="11" fillId="0" borderId="0" xfId="6" applyAlignment="1">
      <alignment vertical="top"/>
    </xf>
    <xf numFmtId="0" fontId="0" fillId="0" borderId="0" xfId="0" applyAlignment="1">
      <alignment vertical="top"/>
    </xf>
    <xf numFmtId="0" fontId="18" fillId="0" borderId="0" xfId="0" applyFont="1" applyAlignment="1">
      <alignment vertical="top"/>
    </xf>
    <xf numFmtId="0" fontId="18" fillId="0" borderId="0" xfId="0" applyFont="1"/>
    <xf numFmtId="0" fontId="44" fillId="0" borderId="0" xfId="0" applyFont="1" applyAlignment="1">
      <alignment vertical="top"/>
    </xf>
    <xf numFmtId="0" fontId="18" fillId="0" borderId="0" xfId="0" applyFont="1" applyAlignment="1">
      <alignment vertical="top" wrapText="1"/>
    </xf>
    <xf numFmtId="4" fontId="18" fillId="0" borderId="0" xfId="0" applyNumberFormat="1" applyFont="1"/>
    <xf numFmtId="0" fontId="18" fillId="0" borderId="9" xfId="0" applyFont="1" applyBorder="1" applyAlignment="1">
      <alignment vertical="top" wrapText="1"/>
    </xf>
    <xf numFmtId="4" fontId="18" fillId="0" borderId="9" xfId="0" applyNumberFormat="1" applyFont="1" applyBorder="1"/>
    <xf numFmtId="0" fontId="46" fillId="0" borderId="0" xfId="0" applyFont="1" applyAlignment="1">
      <alignment vertical="top"/>
    </xf>
    <xf numFmtId="0" fontId="45" fillId="0" borderId="0" xfId="0" applyFont="1" applyAlignment="1">
      <alignment vertical="top"/>
    </xf>
    <xf numFmtId="0" fontId="27" fillId="0" borderId="0" xfId="0" applyFont="1" applyAlignment="1">
      <alignment horizontal="right" vertical="center"/>
    </xf>
    <xf numFmtId="0" fontId="48" fillId="0" borderId="0" xfId="0" applyFont="1"/>
    <xf numFmtId="0" fontId="0" fillId="33" borderId="9" xfId="51" quotePrefix="1" applyNumberFormat="1" applyFont="1" applyBorder="1" applyAlignment="1">
      <alignment horizontal="left" vertical="center"/>
      <protection locked="0"/>
    </xf>
    <xf numFmtId="0" fontId="20" fillId="33" borderId="20" xfId="50" applyNumberFormat="1" applyFont="1" applyAlignment="1">
      <alignment vertical="center"/>
      <protection locked="0"/>
    </xf>
    <xf numFmtId="0" fontId="25" fillId="33" borderId="0" xfId="51" applyNumberFormat="1" applyFont="1" applyBorder="1" applyAlignment="1">
      <protection locked="0"/>
    </xf>
    <xf numFmtId="0" fontId="49" fillId="0" borderId="0" xfId="0" applyFont="1" applyAlignment="1">
      <alignment vertical="top"/>
    </xf>
    <xf numFmtId="0" fontId="50" fillId="0" borderId="0" xfId="0" applyFont="1" applyAlignment="1">
      <alignment vertical="top"/>
    </xf>
    <xf numFmtId="4" fontId="18" fillId="0" borderId="0" xfId="0" applyNumberFormat="1" applyFont="1" applyAlignment="1">
      <alignment horizontal="right"/>
    </xf>
    <xf numFmtId="14" fontId="0" fillId="0" borderId="7" xfId="0" applyNumberFormat="1" applyBorder="1" applyAlignment="1">
      <alignment vertical="center"/>
    </xf>
    <xf numFmtId="14" fontId="0" fillId="0" borderId="7" xfId="0" applyNumberFormat="1" applyBorder="1" applyAlignment="1">
      <alignment horizontal="left" vertical="center"/>
    </xf>
    <xf numFmtId="0" fontId="41" fillId="0" borderId="7" xfId="0" applyFont="1" applyBorder="1" applyAlignment="1">
      <alignment horizontal="left" wrapText="1"/>
    </xf>
    <xf numFmtId="168" fontId="21" fillId="0" borderId="7" xfId="47" applyNumberFormat="1" applyFont="1" applyBorder="1" applyAlignment="1">
      <alignment vertical="center"/>
    </xf>
    <xf numFmtId="0" fontId="0" fillId="0" borderId="7" xfId="0" applyBorder="1" applyAlignment="1">
      <alignment horizontal="right" vertical="center"/>
    </xf>
    <xf numFmtId="14" fontId="0" fillId="0" borderId="7" xfId="0" applyNumberFormat="1" applyBorder="1" applyAlignment="1">
      <alignment horizontal="right" vertical="center"/>
    </xf>
    <xf numFmtId="0" fontId="21" fillId="0" borderId="0" xfId="49" applyAlignment="1">
      <alignment horizontal="left" vertical="center" wrapText="1"/>
    </xf>
    <xf numFmtId="0" fontId="21" fillId="0" borderId="0" xfId="49" quotePrefix="1" applyAlignment="1">
      <alignment horizontal="left" vertical="center"/>
    </xf>
    <xf numFmtId="0" fontId="21" fillId="0" borderId="0" xfId="49" quotePrefix="1" applyAlignment="1">
      <alignment horizontal="left" vertical="center" wrapText="1"/>
    </xf>
    <xf numFmtId="14" fontId="21" fillId="33" borderId="27" xfId="50" applyBorder="1" applyAlignment="1">
      <alignment horizontal="left" vertical="center"/>
      <protection locked="0"/>
    </xf>
    <xf numFmtId="14" fontId="21" fillId="33" borderId="20" xfId="50" applyAlignment="1">
      <alignment horizontal="left" vertical="center"/>
      <protection locked="0"/>
    </xf>
    <xf numFmtId="0" fontId="41" fillId="0" borderId="0" xfId="53" applyFont="1" applyAlignment="1">
      <alignment horizontal="left" vertical="top" wrapText="1"/>
    </xf>
    <xf numFmtId="14" fontId="21" fillId="34" borderId="31" xfId="50" applyNumberFormat="1" applyFill="1" applyBorder="1" applyAlignment="1">
      <alignment horizontal="center" vertical="center"/>
      <protection locked="0"/>
    </xf>
    <xf numFmtId="14" fontId="21" fillId="34" borderId="9" xfId="50" applyNumberFormat="1" applyFill="1" applyBorder="1" applyAlignment="1">
      <alignment horizontal="center" vertical="center"/>
      <protection locked="0"/>
    </xf>
    <xf numFmtId="14" fontId="20" fillId="33" borderId="9" xfId="50" applyFont="1" applyBorder="1" applyAlignment="1">
      <alignment horizontal="left" vertical="center"/>
      <protection locked="0"/>
    </xf>
    <xf numFmtId="14" fontId="21" fillId="33" borderId="9" xfId="50" applyBorder="1" applyAlignment="1">
      <alignment horizontal="left" vertical="center"/>
      <protection locked="0"/>
    </xf>
    <xf numFmtId="0" fontId="27" fillId="0" borderId="15" xfId="52" applyFont="1" applyFill="1" applyBorder="1" applyAlignment="1">
      <alignment horizontal="center" vertical="center" wrapText="1"/>
    </xf>
    <xf numFmtId="0" fontId="27" fillId="0" borderId="0" xfId="52" applyFont="1" applyFill="1" applyBorder="1" applyAlignment="1">
      <alignment horizontal="center" vertical="center" wrapText="1"/>
    </xf>
    <xf numFmtId="14" fontId="0" fillId="33" borderId="9" xfId="50" applyFont="1" applyBorder="1" applyAlignment="1">
      <alignment horizontal="left" vertical="center"/>
      <protection locked="0"/>
    </xf>
    <xf numFmtId="0" fontId="21" fillId="33" borderId="9" xfId="50" applyNumberFormat="1" applyBorder="1" applyAlignment="1">
      <alignment horizontal="left" vertical="center"/>
      <protection locked="0"/>
    </xf>
    <xf numFmtId="0" fontId="0" fillId="0" borderId="0" xfId="49" applyFont="1" applyAlignment="1">
      <alignment horizontal="left" vertical="center" wrapText="1"/>
    </xf>
    <xf numFmtId="0" fontId="21" fillId="0" borderId="37" xfId="49" applyBorder="1" applyAlignment="1">
      <alignment horizontal="left" vertical="center" wrapText="1"/>
    </xf>
    <xf numFmtId="0" fontId="47" fillId="0" borderId="0" xfId="0" applyFont="1" applyAlignment="1">
      <alignment horizontal="left" vertical="top" wrapText="1"/>
    </xf>
  </cellXfs>
  <cellStyles count="55">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hidden="1" customBuiltin="1"/>
    <cellStyle name="Berechnung" xfId="15" builtinId="22" hidden="1" customBuiltin="1"/>
    <cellStyle name="Dezimal [0]" xfId="2" builtinId="6" customBuiltin="1"/>
    <cellStyle name="Editierbare Einstellungen" xfId="51" xr:uid="{00000000-0005-0000-0000-00001B000000}"/>
    <cellStyle name="Eingabe" xfId="13" builtinId="20" hidden="1" customBuiltin="1"/>
    <cellStyle name="Eingabefeld" xfId="50" xr:uid="{00000000-0005-0000-0000-00001D000000}"/>
    <cellStyle name="Ergebnis" xfId="21" builtinId="25" customBuiltin="1"/>
    <cellStyle name="Erklärender Text" xfId="20" builtinId="53" hidden="1" customBuiltin="1"/>
    <cellStyle name="Erklärungstext" xfId="53" xr:uid="{00000000-0005-0000-0000-000020000000}"/>
    <cellStyle name="Feldbeschreibungen" xfId="49" xr:uid="{00000000-0005-0000-0000-000021000000}"/>
    <cellStyle name="Gut" xfId="10" builtinId="26" customBuiltin="1"/>
    <cellStyle name="Hintergrund" xfId="52" xr:uid="{00000000-0005-0000-0000-000023000000}"/>
    <cellStyle name="Komma" xfId="1" builtinId="3" hidden="1"/>
    <cellStyle name="Komma" xfId="47" builtinId="3" customBuiltin="1"/>
    <cellStyle name="Link" xfId="22" builtinId="8" customBuiltin="1"/>
    <cellStyle name="Neutral" xfId="12" builtinId="28" customBuiltin="1"/>
    <cellStyle name="Notiz" xfId="19" builtinId="10" hidden="1" customBuiltin="1"/>
    <cellStyle name="Prozent" xfId="48" builtinId="5"/>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ilenhöhe" xfId="54" xr:uid="{00000000-0005-0000-0000-000035000000}"/>
    <cellStyle name="Zelle überprüfen" xfId="17" builtinId="23" hidden="1" customBuiltin="1"/>
  </cellStyles>
  <dxfs count="3">
    <dxf>
      <fill>
        <patternFill>
          <bgColor theme="9"/>
        </patternFill>
      </fill>
    </dxf>
    <dxf>
      <font>
        <color theme="1"/>
      </font>
      <fill>
        <patternFill>
          <bgColor theme="4" tint="0.79998168889431442"/>
        </patternFill>
      </fill>
    </dxf>
    <dxf>
      <fill>
        <patternFill>
          <bgColor rgb="FFF2F8F8"/>
        </patternFill>
      </fill>
      <border>
        <bottom style="thin">
          <color auto="1"/>
        </bottom>
        <vertical/>
        <horizontal/>
      </border>
    </dxf>
  </dxfs>
  <tableStyles count="0" defaultTableStyle="TableStyleMedium2" defaultPivotStyle="PivotStyleLight16"/>
  <colors>
    <mruColors>
      <color rgb="FFF2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bag.admin.ch/bag/de/home/versicherungen/krankenversicherung/krankenversicherung-versicherer-aufsicht/praemienregionen.html" TargetMode="External"/><Relationship Id="rId2" Type="http://schemas.openxmlformats.org/officeDocument/2006/relationships/hyperlink" Target="https://www.fedlex.admin.ch/eli/cc/2022/613/de" TargetMode="External"/><Relationship Id="rId1" Type="http://schemas.openxmlformats.org/officeDocument/2006/relationships/hyperlink" Target="https://bl.clex.ch/app/de/texts_of_law/850.11/versions/3460" TargetMode="External"/></Relationships>
</file>

<file path=xl/drawings/drawing1.xml><?xml version="1.0" encoding="utf-8"?>
<xdr:wsDr xmlns:xdr="http://schemas.openxmlformats.org/drawingml/2006/spreadsheetDrawing" xmlns:a="http://schemas.openxmlformats.org/drawingml/2006/main">
  <xdr:twoCellAnchor>
    <xdr:from>
      <xdr:col>7</xdr:col>
      <xdr:colOff>7937</xdr:colOff>
      <xdr:row>81</xdr:row>
      <xdr:rowOff>12701</xdr:rowOff>
    </xdr:from>
    <xdr:to>
      <xdr:col>12</xdr:col>
      <xdr:colOff>254912</xdr:colOff>
      <xdr:row>83</xdr:row>
      <xdr:rowOff>94526</xdr:rowOff>
    </xdr:to>
    <xdr:sp macro="" textlink="">
      <xdr:nvSpPr>
        <xdr:cNvPr id="2" name="Textfeld 1">
          <a:extLst>
            <a:ext uri="{FF2B5EF4-FFF2-40B4-BE49-F238E27FC236}">
              <a16:creationId xmlns:a16="http://schemas.microsoft.com/office/drawing/2014/main" id="{C4BDF99D-D782-DC84-4D96-C1BA6F5144BD}"/>
            </a:ext>
          </a:extLst>
        </xdr:cNvPr>
        <xdr:cNvSpPr txBox="1"/>
      </xdr:nvSpPr>
      <xdr:spPr>
        <a:xfrm>
          <a:off x="6904037" y="20996276"/>
          <a:ext cx="5400000" cy="720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lstStyle/>
        <a:p>
          <a:r>
            <a:rPr lang="de-CH" sz="900"/>
            <a:t>Falls das hypothetische Einkommen als anrechenbares Einkommen angerechnet werden soll (Kann-Bestimmung; siehe Reglement), sind hier die üblicherweise geforderten Arbeitspensen einzutragen. Im Eingabe-Blatt kann die automatisch generierte Rechnung bei Bedarf auf die individuelle Situation angepasst werden.</a:t>
          </a:r>
        </a:p>
      </xdr:txBody>
    </xdr:sp>
    <xdr:clientData/>
  </xdr:twoCellAnchor>
  <xdr:twoCellAnchor>
    <xdr:from>
      <xdr:col>7</xdr:col>
      <xdr:colOff>7937</xdr:colOff>
      <xdr:row>38</xdr:row>
      <xdr:rowOff>3176</xdr:rowOff>
    </xdr:from>
    <xdr:to>
      <xdr:col>12</xdr:col>
      <xdr:colOff>251737</xdr:colOff>
      <xdr:row>39</xdr:row>
      <xdr:rowOff>70001</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927901-DC15-4B79-A99A-4A279975D4D2}"/>
            </a:ext>
          </a:extLst>
        </xdr:cNvPr>
        <xdr:cNvSpPr txBox="1"/>
      </xdr:nvSpPr>
      <xdr:spPr>
        <a:xfrm>
          <a:off x="6904037" y="9699626"/>
          <a:ext cx="5396825" cy="324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lstStyle/>
        <a:p>
          <a:r>
            <a:rPr lang="de-CH" sz="900"/>
            <a:t>Freie Vermögensbeträge gemäss § 16 Sozialhilfeverordnung (SHV, SGS 850.11)</a:t>
          </a:r>
        </a:p>
      </xdr:txBody>
    </xdr:sp>
    <xdr:clientData/>
  </xdr:twoCellAnchor>
  <xdr:twoCellAnchor>
    <xdr:from>
      <xdr:col>6</xdr:col>
      <xdr:colOff>474662</xdr:colOff>
      <xdr:row>67</xdr:row>
      <xdr:rowOff>1586</xdr:rowOff>
    </xdr:from>
    <xdr:to>
      <xdr:col>12</xdr:col>
      <xdr:colOff>242212</xdr:colOff>
      <xdr:row>69</xdr:row>
      <xdr:rowOff>209549</xdr:rowOff>
    </xdr:to>
    <xdr:sp macro="" textlink="">
      <xdr:nvSpPr>
        <xdr:cNvPr id="5" name="Textfeld 4">
          <a:extLst>
            <a:ext uri="{FF2B5EF4-FFF2-40B4-BE49-F238E27FC236}">
              <a16:creationId xmlns:a16="http://schemas.microsoft.com/office/drawing/2014/main" id="{DB57E5A6-8250-4683-AD88-05F97942C462}"/>
            </a:ext>
          </a:extLst>
        </xdr:cNvPr>
        <xdr:cNvSpPr txBox="1"/>
      </xdr:nvSpPr>
      <xdr:spPr>
        <a:xfrm>
          <a:off x="8428037" y="17308511"/>
          <a:ext cx="5396825" cy="72231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lstStyle/>
        <a:p>
          <a:r>
            <a:rPr lang="de-CH" sz="900"/>
            <a:t>Mietzinsgrenzwert gemäss Definition durch die Sozialhilfebehörde zur Berechnung der angemessenen Jahresnettomiete resp. -bruttomiete - jährlich zu aktualisieren.</a:t>
          </a:r>
        </a:p>
        <a:p>
          <a:r>
            <a:rPr lang="de-CH" sz="900"/>
            <a:t>- Falls Mietzinsgrenzwert in Netto: Faktor mal Mietzinsgrenzwert zuzüglich NK von 20% (siehe Feld NK)</a:t>
          </a:r>
        </a:p>
        <a:p>
          <a:r>
            <a:rPr lang="de-CH" sz="900"/>
            <a:t>- Falls Mietzinsgrenzwert in Brutto: Faktor mal Mietzinsgrenzwert zuzüglich NK von 0% (siehe Feld NK)</a:t>
          </a:r>
        </a:p>
      </xdr:txBody>
    </xdr:sp>
    <xdr:clientData/>
  </xdr:twoCellAnchor>
  <xdr:twoCellAnchor>
    <xdr:from>
      <xdr:col>6</xdr:col>
      <xdr:colOff>465137</xdr:colOff>
      <xdr:row>54</xdr:row>
      <xdr:rowOff>3174</xdr:rowOff>
    </xdr:from>
    <xdr:to>
      <xdr:col>12</xdr:col>
      <xdr:colOff>232687</xdr:colOff>
      <xdr:row>56</xdr:row>
      <xdr:rowOff>208824</xdr:rowOff>
    </xdr:to>
    <xdr:sp macro="" textlink="">
      <xdr:nvSpPr>
        <xdr:cNvPr id="6" name="Textfeld 5">
          <a:hlinkClick xmlns:r="http://schemas.openxmlformats.org/officeDocument/2006/relationships" r:id="rId2"/>
          <a:extLst>
            <a:ext uri="{FF2B5EF4-FFF2-40B4-BE49-F238E27FC236}">
              <a16:creationId xmlns:a16="http://schemas.microsoft.com/office/drawing/2014/main" id="{9BD3D10E-7802-4070-8F6A-2D7294016A69}"/>
            </a:ext>
          </a:extLst>
        </xdr:cNvPr>
        <xdr:cNvSpPr txBox="1"/>
      </xdr:nvSpPr>
      <xdr:spPr>
        <a:xfrm>
          <a:off x="6884987" y="13890624"/>
          <a:ext cx="5396825" cy="720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lstStyle/>
        <a:p>
          <a:r>
            <a:rPr lang="de-CH" sz="900"/>
            <a:t>Verordnung des EDI über die Durchschnittsprämien (Jahr) der Krankenpflegeversicherung für die Berechnung der Ergänzungsleistungen.</a:t>
          </a:r>
        </a:p>
        <a:p>
          <a:endParaRPr lang="de-CH" sz="900"/>
        </a:p>
        <a:p>
          <a:r>
            <a:rPr lang="de-CH" sz="900"/>
            <a:t>https://www.fedlex.admin.ch/eli/cc/2022/613/de</a:t>
          </a:r>
        </a:p>
      </xdr:txBody>
    </xdr:sp>
    <xdr:clientData/>
  </xdr:twoCellAnchor>
  <xdr:twoCellAnchor>
    <xdr:from>
      <xdr:col>6</xdr:col>
      <xdr:colOff>474662</xdr:colOff>
      <xdr:row>21</xdr:row>
      <xdr:rowOff>7939</xdr:rowOff>
    </xdr:from>
    <xdr:to>
      <xdr:col>12</xdr:col>
      <xdr:colOff>245387</xdr:colOff>
      <xdr:row>22</xdr:row>
      <xdr:rowOff>218764</xdr:rowOff>
    </xdr:to>
    <xdr:sp macro="" textlink="">
      <xdr:nvSpPr>
        <xdr:cNvPr id="7" name="Textfeld 6">
          <a:hlinkClick xmlns:r="http://schemas.openxmlformats.org/officeDocument/2006/relationships" r:id="rId1"/>
          <a:extLst>
            <a:ext uri="{FF2B5EF4-FFF2-40B4-BE49-F238E27FC236}">
              <a16:creationId xmlns:a16="http://schemas.microsoft.com/office/drawing/2014/main" id="{DC645BD1-10FB-45E7-85ED-93400B8C6194}"/>
            </a:ext>
          </a:extLst>
        </xdr:cNvPr>
        <xdr:cNvSpPr txBox="1"/>
      </xdr:nvSpPr>
      <xdr:spPr>
        <a:xfrm>
          <a:off x="6894512" y="5256214"/>
          <a:ext cx="5400000" cy="468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lstStyle/>
        <a:p>
          <a:r>
            <a:rPr lang="de-CH" sz="900"/>
            <a:t>Monatlicher Grundbedarf gemäss §9 Sozialhilfeverordnung SGS 850.11. Basis zur Berechnung des allgemeinen Lebensbedarfs (anrechenbare Ausgabe) und der Einkommenshöchstgrenze.</a:t>
          </a:r>
        </a:p>
      </xdr:txBody>
    </xdr:sp>
    <xdr:clientData/>
  </xdr:twoCellAnchor>
  <xdr:twoCellAnchor>
    <xdr:from>
      <xdr:col>6</xdr:col>
      <xdr:colOff>1303337</xdr:colOff>
      <xdr:row>5</xdr:row>
      <xdr:rowOff>257174</xdr:rowOff>
    </xdr:from>
    <xdr:to>
      <xdr:col>12</xdr:col>
      <xdr:colOff>242212</xdr:colOff>
      <xdr:row>8</xdr:row>
      <xdr:rowOff>61649</xdr:rowOff>
    </xdr:to>
    <xdr:sp macro="" textlink="">
      <xdr:nvSpPr>
        <xdr:cNvPr id="12" name="Textfeld 11">
          <a:hlinkClick xmlns:r="http://schemas.openxmlformats.org/officeDocument/2006/relationships" r:id="rId3"/>
          <a:extLst>
            <a:ext uri="{FF2B5EF4-FFF2-40B4-BE49-F238E27FC236}">
              <a16:creationId xmlns:a16="http://schemas.microsoft.com/office/drawing/2014/main" id="{2B099299-6EC4-CD7F-8C11-E0CCBA3CD11A}"/>
            </a:ext>
          </a:extLst>
        </xdr:cNvPr>
        <xdr:cNvSpPr txBox="1"/>
      </xdr:nvSpPr>
      <xdr:spPr>
        <a:xfrm>
          <a:off x="7723187" y="1543049"/>
          <a:ext cx="5396825" cy="576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t"/>
        <a:lstStyle/>
        <a:p>
          <a:r>
            <a:rPr lang="de-CH" sz="900"/>
            <a:t>In welcher Region befindet sich</a:t>
          </a:r>
          <a:r>
            <a:rPr lang="de-CH" sz="900" baseline="0"/>
            <a:t> unsere Gemeinde?</a:t>
          </a:r>
        </a:p>
        <a:p>
          <a:r>
            <a:rPr lang="de-CH" sz="900">
              <a:latin typeface="Segoe UI Symbol" panose="020B0502040204020203" pitchFamily="34" charset="0"/>
              <a:ea typeface="Segoe UI Symbol" panose="020B0502040204020203" pitchFamily="34" charset="0"/>
            </a:rPr>
            <a:t>▷ </a:t>
          </a:r>
          <a:r>
            <a:rPr lang="de-CH" sz="900"/>
            <a:t>https://www.bag.admin.ch/bag/de/home/versicherungen/krankenversicherung/krankenversicherung-versicherer-aufsicht/praemienregionen.html </a:t>
          </a:r>
        </a:p>
      </xdr:txBody>
    </xdr:sp>
    <xdr:clientData/>
  </xdr:twoCellAnchor>
</xdr:wsDr>
</file>

<file path=xl/theme/theme1.xml><?xml version="1.0" encoding="utf-8"?>
<a:theme xmlns:a="http://schemas.openxmlformats.org/drawingml/2006/main" name="Office Theme">
  <a:themeElements>
    <a:clrScheme name="BL">
      <a:dk1>
        <a:sysClr val="windowText" lastClr="000000"/>
      </a:dk1>
      <a:lt1>
        <a:sysClr val="window" lastClr="FFFFFF"/>
      </a:lt1>
      <a:dk2>
        <a:srgbClr val="808080"/>
      </a:dk2>
      <a:lt2>
        <a:srgbClr val="E6F2F2"/>
      </a:lt2>
      <a:accent1>
        <a:srgbClr val="FF0000"/>
      </a:accent1>
      <a:accent2>
        <a:srgbClr val="3D96A4"/>
      </a:accent2>
      <a:accent3>
        <a:srgbClr val="4D8DBE"/>
      </a:accent3>
      <a:accent4>
        <a:srgbClr val="906392"/>
      </a:accent4>
      <a:accent5>
        <a:srgbClr val="F69252"/>
      </a:accent5>
      <a:accent6>
        <a:srgbClr val="BCE6CA"/>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orlagenbauer.ch/"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23"/>
  <sheetViews>
    <sheetView showGridLines="0" topLeftCell="A92" zoomScaleNormal="100" workbookViewId="0">
      <selection activeCell="I103" sqref="I103"/>
    </sheetView>
  </sheetViews>
  <sheetFormatPr baseColWidth="10" defaultColWidth="11" defaultRowHeight="22.5" customHeight="1" x14ac:dyDescent="0.2"/>
  <cols>
    <col min="1" max="1" width="3.75" style="51" customWidth="1"/>
    <col min="2" max="2" width="22.375" style="51" customWidth="1"/>
    <col min="3" max="3" width="37.5" style="51" customWidth="1"/>
    <col min="4" max="5" width="16" style="51" customWidth="1"/>
    <col min="6" max="6" width="7.25" style="51" customWidth="1"/>
    <col min="7" max="7" width="6.5" style="51" customWidth="1"/>
    <col min="8" max="8" width="4" style="99" customWidth="1"/>
    <col min="9" max="9" width="15.125" style="99" customWidth="1"/>
    <col min="10" max="25" width="11" style="51"/>
    <col min="26" max="26" width="11" style="23"/>
    <col min="27" max="27" width="11" style="24"/>
    <col min="28" max="36" width="11" style="23"/>
    <col min="37" max="16384" width="11" style="51"/>
  </cols>
  <sheetData>
    <row r="1" spans="1:9" ht="22.5" customHeight="1" x14ac:dyDescent="0.2">
      <c r="A1" s="23"/>
      <c r="B1" s="23"/>
      <c r="C1" s="23"/>
      <c r="D1" s="23"/>
      <c r="E1" s="23"/>
      <c r="F1" s="23"/>
      <c r="G1" s="23"/>
      <c r="H1" s="97"/>
      <c r="I1" s="97"/>
    </row>
    <row r="2" spans="1:9" ht="22.5" customHeight="1" x14ac:dyDescent="0.2">
      <c r="A2" s="23"/>
      <c r="B2" s="22" t="s">
        <v>2</v>
      </c>
      <c r="C2" s="22"/>
      <c r="D2" s="23"/>
      <c r="E2" s="23"/>
      <c r="F2" s="23"/>
      <c r="G2" s="23"/>
      <c r="H2" s="97"/>
      <c r="I2" s="97"/>
    </row>
    <row r="3" spans="1:9" ht="22.5" customHeight="1" x14ac:dyDescent="0.2">
      <c r="A3" s="23"/>
      <c r="B3" s="23" t="str">
        <f>"Gemeinde "&amp;'Basisdaten Gemeinde'!C4</f>
        <v>Gemeinde Gemeindename</v>
      </c>
      <c r="C3" s="23"/>
      <c r="D3" s="52"/>
      <c r="E3" s="52"/>
      <c r="F3" s="52"/>
      <c r="G3" s="52"/>
      <c r="H3" s="98"/>
      <c r="I3" s="98"/>
    </row>
    <row r="4" spans="1:9" ht="22.5" customHeight="1" x14ac:dyDescent="0.2">
      <c r="A4" s="23"/>
      <c r="B4" s="23"/>
      <c r="C4" s="23"/>
      <c r="D4" s="52"/>
      <c r="E4" s="52"/>
      <c r="F4" s="52"/>
      <c r="G4" s="52"/>
      <c r="H4" s="98"/>
      <c r="I4" s="98"/>
    </row>
    <row r="5" spans="1:9" ht="22.5" customHeight="1" x14ac:dyDescent="0.2">
      <c r="A5" s="23"/>
      <c r="B5" s="55" t="s">
        <v>45</v>
      </c>
      <c r="C5" s="162" t="s">
        <v>224</v>
      </c>
      <c r="D5" s="181" t="s">
        <v>223</v>
      </c>
      <c r="E5" s="181"/>
      <c r="F5" s="181"/>
      <c r="G5" s="181"/>
      <c r="H5" s="181"/>
      <c r="I5" s="97"/>
    </row>
    <row r="6" spans="1:9" ht="22.5" customHeight="1" x14ac:dyDescent="0.2">
      <c r="A6" s="23"/>
      <c r="B6" s="81" t="s">
        <v>221</v>
      </c>
      <c r="C6" s="55"/>
      <c r="D6" s="185" t="s">
        <v>222</v>
      </c>
      <c r="E6" s="182"/>
      <c r="F6" s="182"/>
      <c r="G6" s="182"/>
      <c r="H6" s="182"/>
      <c r="I6" s="97"/>
    </row>
    <row r="7" spans="1:9" ht="22.5" customHeight="1" x14ac:dyDescent="0.2">
      <c r="A7" s="23"/>
      <c r="B7" s="55"/>
      <c r="C7" s="55"/>
      <c r="D7" s="23"/>
      <c r="E7" s="23"/>
      <c r="F7" s="23"/>
      <c r="G7" s="23"/>
      <c r="H7" s="97"/>
      <c r="I7" s="97"/>
    </row>
    <row r="8" spans="1:9" ht="22.5" customHeight="1" x14ac:dyDescent="0.2">
      <c r="A8" s="23"/>
      <c r="B8" s="55" t="s">
        <v>46</v>
      </c>
      <c r="C8" s="55"/>
      <c r="D8" s="182" t="s">
        <v>6</v>
      </c>
      <c r="E8" s="182"/>
      <c r="F8" s="182"/>
      <c r="G8" s="182"/>
      <c r="H8" s="182"/>
      <c r="I8" s="97"/>
    </row>
    <row r="9" spans="1:9" ht="22.5" customHeight="1" x14ac:dyDescent="0.2">
      <c r="A9" s="23"/>
      <c r="B9" s="55" t="s">
        <v>0</v>
      </c>
      <c r="C9" s="55"/>
      <c r="D9" s="136"/>
      <c r="E9" s="23"/>
      <c r="F9" s="23"/>
      <c r="G9" s="23"/>
      <c r="H9" s="97"/>
      <c r="I9" s="97"/>
    </row>
    <row r="10" spans="1:9" ht="22.5" customHeight="1" x14ac:dyDescent="0.2">
      <c r="A10" s="23"/>
      <c r="B10" s="55" t="s">
        <v>1</v>
      </c>
      <c r="C10" s="55"/>
      <c r="D10" s="57" t="str">
        <f>IF(D9="","",(DATE(YEAR(D9),12,31)))</f>
        <v/>
      </c>
      <c r="E10" s="23"/>
      <c r="F10" s="23"/>
      <c r="G10" s="23"/>
      <c r="H10" s="97"/>
      <c r="I10" s="97"/>
    </row>
    <row r="11" spans="1:9" ht="22.5" customHeight="1" x14ac:dyDescent="0.2">
      <c r="A11" s="23"/>
      <c r="B11" s="55" t="s">
        <v>146</v>
      </c>
      <c r="C11" s="55"/>
      <c r="D11" s="56"/>
      <c r="E11" s="23"/>
      <c r="F11" s="23"/>
      <c r="G11" s="23"/>
      <c r="H11" s="97"/>
      <c r="I11" s="97"/>
    </row>
    <row r="12" spans="1:9" ht="22.5" customHeight="1" x14ac:dyDescent="0.2">
      <c r="A12" s="23"/>
      <c r="B12" s="55"/>
      <c r="C12" s="55"/>
      <c r="D12" s="58"/>
      <c r="E12" s="23"/>
      <c r="F12" s="23"/>
      <c r="G12" s="23"/>
      <c r="H12" s="97"/>
      <c r="I12" s="97"/>
    </row>
    <row r="13" spans="1:9" ht="22.5" customHeight="1" x14ac:dyDescent="0.2">
      <c r="A13" s="23"/>
      <c r="B13" s="55" t="s">
        <v>3</v>
      </c>
      <c r="C13" s="55"/>
      <c r="D13" s="56"/>
      <c r="E13" s="23"/>
      <c r="F13" s="23"/>
      <c r="G13" s="23"/>
      <c r="H13" s="97"/>
      <c r="I13" s="97"/>
    </row>
    <row r="14" spans="1:9" ht="22.5" customHeight="1" x14ac:dyDescent="0.2">
      <c r="A14" s="23"/>
      <c r="B14" s="55" t="s">
        <v>12</v>
      </c>
      <c r="C14" s="55"/>
      <c r="D14" s="57" t="str">
        <f>IF(D13="","",DATE(YEAR(D13),MONTH(D13)+1,1))</f>
        <v/>
      </c>
      <c r="E14" s="23"/>
      <c r="F14" s="23"/>
      <c r="G14" s="23"/>
      <c r="H14" s="97"/>
      <c r="I14" s="97"/>
    </row>
    <row r="15" spans="1:9" ht="22.5" customHeight="1" x14ac:dyDescent="0.2">
      <c r="A15" s="23"/>
      <c r="B15" s="55" t="s">
        <v>147</v>
      </c>
      <c r="C15" s="55"/>
      <c r="D15" s="56"/>
      <c r="E15" s="23"/>
      <c r="F15" s="23"/>
      <c r="G15" s="23"/>
      <c r="H15" s="97"/>
      <c r="I15" s="97"/>
    </row>
    <row r="16" spans="1:9" ht="22.5" customHeight="1" x14ac:dyDescent="0.2">
      <c r="A16" s="23"/>
      <c r="B16" s="55"/>
      <c r="C16" s="55"/>
      <c r="D16" s="58"/>
      <c r="E16" s="23"/>
      <c r="F16" s="23"/>
      <c r="G16" s="23"/>
      <c r="H16" s="97"/>
      <c r="I16" s="97"/>
    </row>
    <row r="17" spans="1:9" ht="22.5" customHeight="1" x14ac:dyDescent="0.2">
      <c r="A17" s="23"/>
      <c r="B17" s="59" t="s">
        <v>59</v>
      </c>
      <c r="C17" s="53" t="s">
        <v>188</v>
      </c>
      <c r="D17" s="53" t="s">
        <v>123</v>
      </c>
      <c r="E17" s="52" t="s">
        <v>124</v>
      </c>
    </row>
    <row r="18" spans="1:9" ht="22.5" customHeight="1" x14ac:dyDescent="0.2">
      <c r="A18" s="23"/>
      <c r="B18" s="60" t="s">
        <v>138</v>
      </c>
      <c r="C18" s="146"/>
      <c r="D18" s="137"/>
      <c r="E18" s="61" t="str">
        <f t="shared" ref="E18:E31" si="0">IF(D18="","",ROUNDDOWN(($D$9-D18)/365,0))</f>
        <v/>
      </c>
      <c r="F18" s="62"/>
      <c r="G18" s="63"/>
    </row>
    <row r="19" spans="1:9" ht="22.5" customHeight="1" x14ac:dyDescent="0.2">
      <c r="A19" s="23"/>
      <c r="B19" s="64" t="s">
        <v>126</v>
      </c>
      <c r="C19" s="146"/>
      <c r="D19" s="138"/>
      <c r="E19" s="65" t="str">
        <f t="shared" si="0"/>
        <v/>
      </c>
      <c r="F19" s="142" t="s">
        <v>148</v>
      </c>
      <c r="G19" s="183" t="s">
        <v>125</v>
      </c>
      <c r="H19" s="184"/>
    </row>
    <row r="20" spans="1:9" ht="22.5" customHeight="1" x14ac:dyDescent="0.2">
      <c r="A20" s="23"/>
      <c r="B20" s="64" t="s">
        <v>127</v>
      </c>
      <c r="C20" s="146"/>
      <c r="D20" s="138"/>
      <c r="E20" s="65" t="str">
        <f t="shared" si="0"/>
        <v/>
      </c>
      <c r="F20" s="66"/>
      <c r="G20" s="179"/>
      <c r="H20" s="180"/>
    </row>
    <row r="21" spans="1:9" ht="22.5" customHeight="1" x14ac:dyDescent="0.2">
      <c r="A21" s="23"/>
      <c r="B21" s="64" t="s">
        <v>128</v>
      </c>
      <c r="C21" s="146"/>
      <c r="D21" s="138"/>
      <c r="E21" s="65" t="str">
        <f t="shared" si="0"/>
        <v/>
      </c>
      <c r="F21" s="66"/>
      <c r="G21" s="179"/>
      <c r="H21" s="180"/>
    </row>
    <row r="22" spans="1:9" ht="22.5" customHeight="1" x14ac:dyDescent="0.2">
      <c r="A22" s="23"/>
      <c r="B22" s="64" t="s">
        <v>129</v>
      </c>
      <c r="C22" s="146"/>
      <c r="D22" s="138"/>
      <c r="E22" s="65" t="str">
        <f>IF(D22="","",ROUNDDOWN(($D$9-D22)/365,0))</f>
        <v/>
      </c>
      <c r="F22" s="67"/>
      <c r="G22" s="179"/>
      <c r="H22" s="180"/>
    </row>
    <row r="23" spans="1:9" ht="22.5" customHeight="1" x14ac:dyDescent="0.2">
      <c r="A23" s="23"/>
      <c r="B23" s="64" t="s">
        <v>186</v>
      </c>
      <c r="C23" s="146"/>
      <c r="D23" s="138"/>
      <c r="E23" s="65" t="str">
        <f t="shared" si="0"/>
        <v/>
      </c>
      <c r="F23" s="66"/>
      <c r="G23" s="179"/>
      <c r="H23" s="180"/>
      <c r="I23" s="145" t="s">
        <v>187</v>
      </c>
    </row>
    <row r="24" spans="1:9" ht="22.5" hidden="1" customHeight="1" x14ac:dyDescent="0.2">
      <c r="A24" s="23"/>
      <c r="B24" s="64" t="s">
        <v>130</v>
      </c>
      <c r="C24" s="146"/>
      <c r="D24" s="138"/>
      <c r="E24" s="65" t="str">
        <f t="shared" si="0"/>
        <v/>
      </c>
      <c r="F24" s="68"/>
      <c r="G24" s="179"/>
      <c r="H24" s="180"/>
    </row>
    <row r="25" spans="1:9" ht="22.5" hidden="1" customHeight="1" x14ac:dyDescent="0.2">
      <c r="A25" s="23"/>
      <c r="B25" s="64" t="s">
        <v>131</v>
      </c>
      <c r="C25" s="146"/>
      <c r="D25" s="138"/>
      <c r="E25" s="65" t="str">
        <f t="shared" si="0"/>
        <v/>
      </c>
      <c r="F25" s="68"/>
      <c r="G25" s="179"/>
      <c r="H25" s="180"/>
    </row>
    <row r="26" spans="1:9" ht="22.5" hidden="1" customHeight="1" x14ac:dyDescent="0.2">
      <c r="A26" s="23"/>
      <c r="B26" s="64" t="s">
        <v>132</v>
      </c>
      <c r="C26" s="146"/>
      <c r="D26" s="138"/>
      <c r="E26" s="65" t="str">
        <f t="shared" si="0"/>
        <v/>
      </c>
      <c r="F26" s="68"/>
      <c r="G26" s="179"/>
      <c r="H26" s="180"/>
    </row>
    <row r="27" spans="1:9" ht="22.5" hidden="1" customHeight="1" x14ac:dyDescent="0.2">
      <c r="A27" s="23"/>
      <c r="B27" s="64" t="s">
        <v>133</v>
      </c>
      <c r="C27" s="146"/>
      <c r="D27" s="138"/>
      <c r="E27" s="65" t="str">
        <f t="shared" si="0"/>
        <v/>
      </c>
      <c r="F27" s="68"/>
      <c r="G27" s="179"/>
      <c r="H27" s="180"/>
    </row>
    <row r="28" spans="1:9" ht="22.5" hidden="1" customHeight="1" x14ac:dyDescent="0.2">
      <c r="A28" s="23"/>
      <c r="B28" s="64" t="s">
        <v>134</v>
      </c>
      <c r="C28" s="146"/>
      <c r="D28" s="138"/>
      <c r="E28" s="65" t="str">
        <f t="shared" si="0"/>
        <v/>
      </c>
      <c r="F28" s="68"/>
      <c r="G28" s="179"/>
      <c r="H28" s="180"/>
    </row>
    <row r="29" spans="1:9" ht="22.5" hidden="1" customHeight="1" x14ac:dyDescent="0.2">
      <c r="A29" s="23"/>
      <c r="B29" s="64" t="s">
        <v>135</v>
      </c>
      <c r="C29" s="146"/>
      <c r="D29" s="138"/>
      <c r="E29" s="65" t="str">
        <f t="shared" si="0"/>
        <v/>
      </c>
      <c r="F29" s="68"/>
      <c r="G29" s="179"/>
      <c r="H29" s="180"/>
    </row>
    <row r="30" spans="1:9" ht="22.5" hidden="1" customHeight="1" x14ac:dyDescent="0.2">
      <c r="A30" s="23"/>
      <c r="B30" s="64" t="s">
        <v>136</v>
      </c>
      <c r="C30" s="146"/>
      <c r="D30" s="138"/>
      <c r="E30" s="65" t="str">
        <f t="shared" si="0"/>
        <v/>
      </c>
      <c r="F30" s="68"/>
      <c r="G30" s="179"/>
      <c r="H30" s="180"/>
    </row>
    <row r="31" spans="1:9" ht="22.5" hidden="1" customHeight="1" x14ac:dyDescent="0.2">
      <c r="A31" s="23"/>
      <c r="B31" s="64" t="s">
        <v>137</v>
      </c>
      <c r="C31" s="146"/>
      <c r="D31" s="138"/>
      <c r="E31" s="65" t="str">
        <f t="shared" si="0"/>
        <v/>
      </c>
      <c r="F31" s="68"/>
      <c r="G31" s="179"/>
      <c r="H31" s="180"/>
    </row>
    <row r="32" spans="1:9" ht="10.5" customHeight="1" x14ac:dyDescent="0.2">
      <c r="A32" s="23"/>
      <c r="B32" s="59"/>
      <c r="C32" s="59"/>
      <c r="D32" s="58"/>
      <c r="E32" s="23"/>
      <c r="F32" s="23"/>
      <c r="G32" s="23"/>
      <c r="H32" s="97"/>
      <c r="I32" s="97"/>
    </row>
    <row r="33" spans="1:9" ht="22.5" customHeight="1" x14ac:dyDescent="0.2">
      <c r="A33" s="23"/>
      <c r="B33" s="59"/>
      <c r="C33" s="59"/>
      <c r="D33" s="58"/>
      <c r="E33" s="23"/>
      <c r="F33" s="23"/>
      <c r="G33" s="23"/>
      <c r="H33" s="144" t="str">
        <f>IF(COUNT(Eingabe!$D$18:$D$31)=0,Grundeinstellungen!B38,IF(MIN(Eingabe!$E$18:$E$31)&lt;18,Grundeinstellungen!B36,IF(COUNTIF(Eingabe!$F$18:$F$31,"Ja")&gt;0,Grundeinstellungen!B36,Grundeinstellungen!B37)))</f>
        <v>• • •</v>
      </c>
      <c r="I33" s="97" t="str">
        <f>VLOOKUP(H33,Grundeinstellungen!$B$36:$C$38,2)</f>
        <v xml:space="preserve"> </v>
      </c>
    </row>
    <row r="34" spans="1:9" ht="11.25" customHeight="1" x14ac:dyDescent="0.2">
      <c r="A34" s="23"/>
      <c r="B34" s="59"/>
      <c r="C34" s="59"/>
      <c r="D34" s="58"/>
      <c r="E34" s="23"/>
      <c r="F34" s="23"/>
      <c r="G34" s="23"/>
      <c r="H34" s="97"/>
      <c r="I34" s="97"/>
    </row>
    <row r="35" spans="1:9" ht="22.5" customHeight="1" x14ac:dyDescent="0.2">
      <c r="A35" s="23"/>
      <c r="B35" s="55" t="s">
        <v>102</v>
      </c>
      <c r="C35" s="55"/>
      <c r="D35" s="182"/>
      <c r="E35" s="182"/>
      <c r="F35" s="50"/>
      <c r="G35" s="50"/>
      <c r="H35" s="97"/>
      <c r="I35" s="97"/>
    </row>
    <row r="36" spans="1:9" ht="22.5" customHeight="1" x14ac:dyDescent="0.2">
      <c r="A36" s="23"/>
      <c r="B36" s="55"/>
      <c r="C36" s="55"/>
      <c r="D36" s="58"/>
      <c r="E36" s="23"/>
      <c r="F36" s="23"/>
      <c r="G36" s="23"/>
      <c r="H36" s="97"/>
      <c r="I36" s="97"/>
    </row>
    <row r="37" spans="1:9" ht="22.5" customHeight="1" x14ac:dyDescent="0.2">
      <c r="A37" s="23"/>
      <c r="B37" s="55" t="s">
        <v>95</v>
      </c>
      <c r="C37" s="55"/>
      <c r="D37" s="186"/>
      <c r="E37" s="186"/>
      <c r="F37" s="23"/>
      <c r="G37" s="23"/>
      <c r="H37" s="97"/>
      <c r="I37" s="97"/>
    </row>
    <row r="38" spans="1:9" ht="22.5" customHeight="1" x14ac:dyDescent="0.2">
      <c r="A38" s="23"/>
      <c r="B38" s="55"/>
      <c r="C38" s="55"/>
      <c r="D38" s="58"/>
      <c r="E38" s="23"/>
      <c r="F38" s="23"/>
      <c r="G38" s="23"/>
      <c r="H38" s="97"/>
      <c r="I38" s="97"/>
    </row>
    <row r="39" spans="1:9" ht="22.5" customHeight="1" x14ac:dyDescent="0.2">
      <c r="A39" s="23"/>
      <c r="B39" s="59" t="s">
        <v>62</v>
      </c>
      <c r="C39" s="59"/>
      <c r="D39" s="58"/>
      <c r="E39" s="50"/>
      <c r="F39" s="50"/>
      <c r="G39" s="50"/>
      <c r="H39" s="97"/>
      <c r="I39" s="97"/>
    </row>
    <row r="40" spans="1:9" ht="22.5" customHeight="1" x14ac:dyDescent="0.2">
      <c r="A40" s="23"/>
      <c r="B40" s="55" t="s">
        <v>5</v>
      </c>
      <c r="C40" s="55"/>
      <c r="D40" s="56"/>
      <c r="H40" s="144" t="str">
        <f>IF(D15="",IF(OR(D40="",D14=""),Grundeinstellungen!B38,IF((D14-Grundeinstellungen!C25*365)&gt;D40,Grundeinstellungen!B36,Grundeinstellungen!B37)),IF(D40="",Grundeinstellungen!B38,IF((D15-Grundeinstellungen!C25*365)&gt;D40,Grundeinstellungen!B36,Grundeinstellungen!B37)))</f>
        <v>• • •</v>
      </c>
      <c r="I40" s="97" t="str">
        <f>VLOOKUP(H40,Grundeinstellungen!$B$36:$C$38,2)</f>
        <v xml:space="preserve"> </v>
      </c>
    </row>
    <row r="41" spans="1:9" ht="22.5" customHeight="1" x14ac:dyDescent="0.2">
      <c r="A41" s="23"/>
      <c r="B41" s="55"/>
      <c r="C41" s="55"/>
      <c r="D41" s="58"/>
      <c r="H41" s="97"/>
      <c r="I41" s="97"/>
    </row>
    <row r="42" spans="1:9" ht="22.5" customHeight="1" x14ac:dyDescent="0.2">
      <c r="A42" s="23"/>
      <c r="B42" s="81" t="s">
        <v>229</v>
      </c>
      <c r="C42" s="55"/>
      <c r="D42" s="56"/>
      <c r="E42" s="56"/>
      <c r="H42" s="144" t="str">
        <f>IF(D42=Grundeinstellungen!B5,Grundeinstellungen!B36,IF(E42="",Grundeinstellungen!B38,IF(VLOOKUP(E42,Grundeinstellungen!B9:C14,2,FALSE)="Ja",Grundeinstellungen!B36,Grundeinstellungen!B37)))</f>
        <v>• • •</v>
      </c>
      <c r="I42" s="97" t="str">
        <f>VLOOKUP(H42,Grundeinstellungen!$B$36:$C$38,2)</f>
        <v xml:space="preserve"> </v>
      </c>
    </row>
    <row r="43" spans="1:9" ht="22.5" customHeight="1" x14ac:dyDescent="0.2">
      <c r="A43" s="23"/>
      <c r="B43" s="55"/>
      <c r="C43" s="55"/>
      <c r="D43" s="58"/>
      <c r="H43" s="97"/>
      <c r="I43" s="97"/>
    </row>
    <row r="44" spans="1:9" ht="22.5" customHeight="1" x14ac:dyDescent="0.2">
      <c r="A44" s="23"/>
      <c r="B44" s="59" t="s">
        <v>63</v>
      </c>
      <c r="C44" s="59"/>
      <c r="D44" s="104" t="s">
        <v>8</v>
      </c>
      <c r="E44" s="103" t="s">
        <v>9</v>
      </c>
      <c r="F44" s="54"/>
      <c r="G44" s="54"/>
      <c r="H44" s="97"/>
      <c r="I44" s="97"/>
    </row>
    <row r="45" spans="1:9" ht="22.5" customHeight="1" x14ac:dyDescent="0.2">
      <c r="A45" s="23"/>
      <c r="B45" s="55" t="s">
        <v>78</v>
      </c>
      <c r="C45" s="55"/>
      <c r="D45" s="105"/>
      <c r="E45" s="107"/>
    </row>
    <row r="46" spans="1:9" ht="22.5" customHeight="1" x14ac:dyDescent="0.2">
      <c r="A46" s="23"/>
      <c r="B46" s="55" t="str">
        <f>IF('Basisdaten Gemeinde'!D11="Ja","Gefordertes Arbeitspensum (berechneter Wert)","-")</f>
        <v>-</v>
      </c>
      <c r="C46" s="55"/>
      <c r="D46" s="106" t="str">
        <f>IF('Basisdaten Gemeinde'!$D$11="nein","",IF(OR(D35="",D37=""),"",VLOOKUP(D35,'Basisdaten Gemeinde'!B83:E86,Berechnungen!C16,FALSE)))</f>
        <v/>
      </c>
      <c r="E46" s="107"/>
    </row>
    <row r="47" spans="1:9" ht="22.5" customHeight="1" x14ac:dyDescent="0.2">
      <c r="A47" s="23"/>
      <c r="B47" s="55" t="s">
        <v>154</v>
      </c>
      <c r="C47" s="55"/>
      <c r="D47" s="108"/>
      <c r="E47" s="69">
        <f>IF(D47="",MAX(D45:D46),MAX(D45,D47))</f>
        <v>0</v>
      </c>
      <c r="F47" s="70"/>
      <c r="G47" s="70"/>
    </row>
    <row r="48" spans="1:9" ht="22.5" customHeight="1" x14ac:dyDescent="0.2">
      <c r="A48" s="23"/>
      <c r="B48" s="55"/>
      <c r="C48" s="55"/>
      <c r="D48" s="23"/>
      <c r="H48" s="97"/>
      <c r="I48" s="97"/>
    </row>
    <row r="49" spans="1:9" ht="22.5" customHeight="1" x14ac:dyDescent="0.2">
      <c r="A49" s="23"/>
      <c r="B49" s="59" t="s">
        <v>64</v>
      </c>
      <c r="C49" s="59"/>
      <c r="D49" s="23"/>
      <c r="H49" s="97"/>
      <c r="I49" s="97"/>
    </row>
    <row r="50" spans="1:9" ht="22.5" customHeight="1" x14ac:dyDescent="0.2">
      <c r="A50" s="23"/>
      <c r="B50" s="55" t="s">
        <v>79</v>
      </c>
      <c r="C50" s="55"/>
      <c r="D50" s="71"/>
    </row>
    <row r="51" spans="1:9" ht="22.5" customHeight="1" x14ac:dyDescent="0.2">
      <c r="A51" s="23"/>
      <c r="B51" s="55" t="s">
        <v>64</v>
      </c>
      <c r="C51" s="55"/>
      <c r="D51" s="109" t="str">
        <f>IF(SUM(Berechnungen!C4:C6)&lt;1,"",VLOOKUP(SUM(Berechnungen!C4:C6),'Basisdaten Gemeinde'!B40:D49,3))</f>
        <v/>
      </c>
      <c r="H51" s="144" t="str">
        <f>IF(D50="",Grundeinstellungen!B38,IF(D50&gt;D51,Grundeinstellungen!B37,Grundeinstellungen!B36))</f>
        <v>• • •</v>
      </c>
      <c r="I51" s="97" t="str">
        <f>VLOOKUP(H51,Grundeinstellungen!$B$36:$C$38,2)</f>
        <v xml:space="preserve"> </v>
      </c>
    </row>
    <row r="52" spans="1:9" ht="22.5" customHeight="1" x14ac:dyDescent="0.2">
      <c r="A52" s="23"/>
      <c r="B52" s="55"/>
      <c r="C52" s="55"/>
      <c r="D52" s="23"/>
      <c r="E52" s="23"/>
      <c r="F52" s="23"/>
      <c r="G52" s="23"/>
      <c r="H52" s="97"/>
      <c r="I52" s="97"/>
    </row>
    <row r="53" spans="1:9" ht="22.5" customHeight="1" x14ac:dyDescent="0.2">
      <c r="A53" s="23"/>
      <c r="B53" s="23"/>
      <c r="C53" s="23"/>
      <c r="D53" s="23"/>
      <c r="E53" s="23"/>
      <c r="F53" s="23"/>
      <c r="G53" s="23"/>
      <c r="H53" s="97"/>
      <c r="I53" s="97"/>
    </row>
    <row r="54" spans="1:9" ht="22.5" customHeight="1" x14ac:dyDescent="0.2">
      <c r="A54" s="23"/>
      <c r="B54" s="59" t="s">
        <v>10</v>
      </c>
      <c r="C54" s="59"/>
      <c r="D54" s="53" t="s">
        <v>8</v>
      </c>
      <c r="E54" s="54" t="s">
        <v>9</v>
      </c>
      <c r="F54" s="54"/>
      <c r="G54" s="54"/>
      <c r="H54" s="100"/>
      <c r="I54" s="100"/>
    </row>
    <row r="55" spans="1:9" ht="22.5" customHeight="1" x14ac:dyDescent="0.2">
      <c r="A55" s="23"/>
      <c r="B55" s="173" t="s">
        <v>153</v>
      </c>
      <c r="C55" s="173"/>
      <c r="D55" s="72"/>
      <c r="E55" s="96">
        <f>IF(SUM(Berechnungen!C4:C6)=0,0,IF(D57&gt;LOOKUP(SUM(Berechnungen!C4:C6),'Basisdaten Gemeinde'!B69:B78,'Basisdaten Gemeinde'!E69:E78),LOOKUP(SUM(Berechnungen!C4:C6),'Basisdaten Gemeinde'!B69:B78,'Basisdaten Gemeinde'!D69:D78),D55))</f>
        <v>0</v>
      </c>
      <c r="F55" s="73"/>
      <c r="G55" s="73"/>
    </row>
    <row r="56" spans="1:9" ht="22.5" customHeight="1" thickBot="1" x14ac:dyDescent="0.25">
      <c r="A56" s="23"/>
      <c r="B56" s="187" t="str">
        <f>"Nebenkosten ("&amp;'Basisdaten Gemeinde'!C66*100&amp;"% der Nettomiete)"</f>
        <v>Nebenkosten (20% der Nettomiete)</v>
      </c>
      <c r="C56" s="187"/>
      <c r="D56" s="94">
        <f>D55*'Basisdaten Gemeinde'!C66</f>
        <v>0</v>
      </c>
      <c r="E56" s="95">
        <f>IF(D55="",0,E55*'Basisdaten Gemeinde'!C66)</f>
        <v>0</v>
      </c>
      <c r="F56" s="73"/>
      <c r="G56" s="73"/>
    </row>
    <row r="57" spans="1:9" ht="22.5" customHeight="1" x14ac:dyDescent="0.2">
      <c r="A57" s="23"/>
      <c r="B57" s="74" t="s">
        <v>145</v>
      </c>
      <c r="C57" s="74"/>
      <c r="D57" s="75">
        <f>D55+D56</f>
        <v>0</v>
      </c>
      <c r="E57" s="75">
        <f>E55+E56</f>
        <v>0</v>
      </c>
      <c r="F57" s="73"/>
      <c r="G57" s="73"/>
    </row>
    <row r="58" spans="1:9" ht="22.5" customHeight="1" x14ac:dyDescent="0.2">
      <c r="A58" s="23"/>
      <c r="B58" s="173" t="s">
        <v>82</v>
      </c>
      <c r="C58" s="173"/>
      <c r="D58" s="72"/>
      <c r="E58" s="102" t="str">
        <f>IF(D58="","",IF(D58&gt;Berechnungen!C22,Berechnungen!C22,Eingabe!D58))</f>
        <v/>
      </c>
      <c r="F58" s="73"/>
      <c r="G58" s="73"/>
    </row>
    <row r="59" spans="1:9" ht="22.5" customHeight="1" x14ac:dyDescent="0.2">
      <c r="A59" s="23"/>
      <c r="B59" s="55" t="s">
        <v>179</v>
      </c>
      <c r="C59" s="55"/>
      <c r="D59" s="23"/>
      <c r="E59" s="72"/>
      <c r="F59" s="73"/>
      <c r="G59" s="73"/>
    </row>
    <row r="60" spans="1:9" ht="22.5" customHeight="1" x14ac:dyDescent="0.2">
      <c r="A60" s="23"/>
      <c r="B60" s="55" t="s">
        <v>11</v>
      </c>
      <c r="C60" s="55"/>
      <c r="D60" s="23"/>
      <c r="E60" s="72"/>
      <c r="F60" s="73"/>
      <c r="G60" s="73"/>
      <c r="H60" s="48"/>
      <c r="I60" s="48"/>
    </row>
    <row r="61" spans="1:9" ht="22.5" customHeight="1" x14ac:dyDescent="0.2">
      <c r="A61" s="23"/>
      <c r="B61" s="55" t="s">
        <v>65</v>
      </c>
      <c r="C61" s="55"/>
      <c r="D61" s="23"/>
      <c r="E61" s="76"/>
      <c r="F61" s="73"/>
      <c r="G61" s="73"/>
      <c r="H61" s="48"/>
      <c r="I61" s="48"/>
    </row>
    <row r="62" spans="1:9" ht="22.5" customHeight="1" x14ac:dyDescent="0.2">
      <c r="A62" s="23"/>
      <c r="B62" s="176" t="s">
        <v>47</v>
      </c>
      <c r="C62" s="177"/>
      <c r="D62" s="23"/>
      <c r="E62" s="72"/>
      <c r="F62" s="73"/>
      <c r="G62" s="73"/>
      <c r="H62" s="48"/>
      <c r="I62" s="48"/>
    </row>
    <row r="63" spans="1:9" ht="22.5" customHeight="1" x14ac:dyDescent="0.2">
      <c r="A63" s="23"/>
      <c r="B63" s="176" t="s">
        <v>47</v>
      </c>
      <c r="C63" s="177"/>
      <c r="D63" s="23"/>
      <c r="E63" s="72"/>
      <c r="F63" s="73"/>
      <c r="G63" s="73"/>
      <c r="H63" s="48"/>
      <c r="I63" s="48"/>
    </row>
    <row r="64" spans="1:9" ht="22.5" customHeight="1" x14ac:dyDescent="0.2">
      <c r="A64" s="23"/>
      <c r="B64" s="176" t="s">
        <v>47</v>
      </c>
      <c r="C64" s="177"/>
      <c r="D64" s="23"/>
      <c r="E64" s="72"/>
      <c r="F64" s="73"/>
      <c r="G64" s="73"/>
      <c r="H64" s="48"/>
      <c r="I64" s="48"/>
    </row>
    <row r="65" spans="1:9" ht="22.5" customHeight="1" x14ac:dyDescent="0.2">
      <c r="A65" s="23"/>
      <c r="B65" s="176" t="s">
        <v>47</v>
      </c>
      <c r="C65" s="177"/>
      <c r="D65" s="23"/>
      <c r="E65" s="72"/>
      <c r="F65" s="73"/>
      <c r="G65" s="73"/>
      <c r="H65" s="48"/>
      <c r="I65" s="48"/>
    </row>
    <row r="66" spans="1:9" ht="22.5" customHeight="1" x14ac:dyDescent="0.2">
      <c r="A66" s="23"/>
      <c r="B66" s="176" t="s">
        <v>47</v>
      </c>
      <c r="C66" s="177"/>
      <c r="D66" s="23"/>
      <c r="E66" s="72"/>
      <c r="F66" s="73"/>
      <c r="G66" s="73"/>
      <c r="H66" s="48"/>
      <c r="I66" s="48"/>
    </row>
    <row r="67" spans="1:9" ht="22.5" customHeight="1" thickBot="1" x14ac:dyDescent="0.25">
      <c r="A67" s="23"/>
      <c r="B67" s="188" t="str">
        <f>"Allgemeiner Lebensbedarf (SH-Grundbedarf * "&amp;'Basisdaten Gemeinde'!E16*100&amp;"%)"</f>
        <v>Allgemeiner Lebensbedarf (SH-Grundbedarf * 100%)</v>
      </c>
      <c r="C67" s="188"/>
      <c r="D67" s="23"/>
      <c r="E67" s="125" t="str">
        <f>IF(SUM(Berechnungen!C4:C6)=0,"",LOOKUP(SUM(Berechnungen!C4:C6),'Basisdaten Gemeinde'!B23:B32,'Basisdaten Gemeinde'!D23:D32))</f>
        <v/>
      </c>
      <c r="F67" s="73"/>
      <c r="G67" s="73"/>
      <c r="H67" s="48"/>
      <c r="I67" s="48"/>
    </row>
    <row r="68" spans="1:9" ht="22.5" customHeight="1" thickBot="1" x14ac:dyDescent="0.25">
      <c r="A68" s="23"/>
      <c r="B68" s="77" t="s">
        <v>7</v>
      </c>
      <c r="C68" s="77"/>
      <c r="D68" s="23"/>
      <c r="E68" s="126">
        <f>SUM(E57:E67)</f>
        <v>0</v>
      </c>
      <c r="F68" s="73"/>
      <c r="G68" s="73"/>
      <c r="H68" s="48"/>
      <c r="I68" s="48"/>
    </row>
    <row r="69" spans="1:9" ht="22.5" customHeight="1" thickTop="1" x14ac:dyDescent="0.2">
      <c r="A69" s="23"/>
      <c r="B69" s="78"/>
      <c r="C69" s="78"/>
      <c r="D69" s="23"/>
      <c r="E69" s="23"/>
      <c r="F69" s="23"/>
      <c r="G69" s="23"/>
      <c r="H69" s="48"/>
      <c r="I69" s="48"/>
    </row>
    <row r="70" spans="1:9" ht="22.5" customHeight="1" x14ac:dyDescent="0.2">
      <c r="A70" s="23"/>
      <c r="B70" s="55"/>
      <c r="C70" s="55"/>
      <c r="D70" s="23"/>
      <c r="E70" s="23"/>
      <c r="F70" s="23"/>
      <c r="G70" s="23"/>
      <c r="H70" s="48"/>
      <c r="I70" s="48"/>
    </row>
    <row r="71" spans="1:9" ht="22.5" customHeight="1" x14ac:dyDescent="0.2">
      <c r="A71" s="23"/>
      <c r="B71" s="59" t="s">
        <v>66</v>
      </c>
      <c r="C71" s="59"/>
      <c r="D71" s="104" t="s">
        <v>8</v>
      </c>
      <c r="E71" s="123" t="s">
        <v>9</v>
      </c>
      <c r="F71" s="79"/>
      <c r="G71" s="79"/>
      <c r="H71" s="48"/>
      <c r="I71" s="48"/>
    </row>
    <row r="72" spans="1:9" ht="22.5" customHeight="1" x14ac:dyDescent="0.2">
      <c r="A72" s="23"/>
      <c r="B72" s="80" t="s">
        <v>190</v>
      </c>
      <c r="C72" s="80"/>
      <c r="D72" s="118"/>
      <c r="E72" s="120"/>
      <c r="F72" s="79"/>
      <c r="G72" s="79"/>
    </row>
    <row r="73" spans="1:9" ht="22.5" customHeight="1" x14ac:dyDescent="0.2">
      <c r="A73" s="23"/>
      <c r="B73" s="80" t="s">
        <v>189</v>
      </c>
      <c r="C73" s="80"/>
      <c r="D73" s="147"/>
      <c r="E73" s="120"/>
      <c r="F73" s="79"/>
      <c r="G73" s="79"/>
    </row>
    <row r="74" spans="1:9" ht="22.5" customHeight="1" x14ac:dyDescent="0.2">
      <c r="A74" s="23"/>
      <c r="B74" s="80" t="s">
        <v>191</v>
      </c>
      <c r="C74" s="80"/>
      <c r="D74" s="119">
        <f>SUM(D72:D73)</f>
        <v>0</v>
      </c>
      <c r="E74" s="120"/>
      <c r="F74" s="79"/>
      <c r="G74" s="79"/>
    </row>
    <row r="75" spans="1:9" ht="22.5" customHeight="1" x14ac:dyDescent="0.2">
      <c r="A75" s="23"/>
      <c r="B75" s="80" t="s">
        <v>156</v>
      </c>
      <c r="C75" s="80"/>
      <c r="D75" s="119">
        <f>IF('Basisdaten Gemeinde'!D11="Nein",Eingabe!D74,IF(E47&gt;D45,IF(D45=0,D74,D74/D45*E47),D74))</f>
        <v>0</v>
      </c>
      <c r="E75" s="121"/>
      <c r="F75" s="79"/>
      <c r="G75" s="79"/>
    </row>
    <row r="76" spans="1:9" ht="22.5" customHeight="1" x14ac:dyDescent="0.2">
      <c r="A76" s="23"/>
      <c r="B76" s="80" t="s">
        <v>155</v>
      </c>
      <c r="C76" s="80"/>
      <c r="D76" s="118"/>
      <c r="E76" s="122">
        <f>IF(D76="",D75,D76)</f>
        <v>0</v>
      </c>
      <c r="F76" s="79"/>
      <c r="G76" s="79"/>
    </row>
    <row r="77" spans="1:9" ht="22.5" customHeight="1" x14ac:dyDescent="0.2">
      <c r="A77" s="23"/>
      <c r="B77" s="81" t="s">
        <v>88</v>
      </c>
      <c r="C77" s="81"/>
      <c r="E77" s="72"/>
      <c r="F77" s="79"/>
      <c r="G77" s="79"/>
    </row>
    <row r="78" spans="1:9" ht="22.5" customHeight="1" x14ac:dyDescent="0.2">
      <c r="A78" s="23"/>
      <c r="B78" s="81" t="s">
        <v>94</v>
      </c>
      <c r="C78" s="81"/>
      <c r="E78" s="72"/>
      <c r="F78" s="79"/>
      <c r="G78" s="79"/>
    </row>
    <row r="79" spans="1:9" ht="22.5" customHeight="1" x14ac:dyDescent="0.2">
      <c r="A79" s="23"/>
      <c r="B79" s="81" t="s">
        <v>139</v>
      </c>
      <c r="C79" s="81"/>
      <c r="E79" s="72"/>
      <c r="F79" s="79"/>
      <c r="G79" s="79"/>
    </row>
    <row r="80" spans="1:9" ht="22.5" customHeight="1" x14ac:dyDescent="0.2">
      <c r="A80" s="23"/>
      <c r="B80" s="81" t="s">
        <v>90</v>
      </c>
      <c r="C80" s="81"/>
      <c r="E80" s="72"/>
      <c r="F80" s="79"/>
      <c r="G80" s="79"/>
    </row>
    <row r="81" spans="1:9" ht="22.5" customHeight="1" x14ac:dyDescent="0.2">
      <c r="A81" s="23"/>
      <c r="B81" s="81" t="s">
        <v>89</v>
      </c>
      <c r="C81" s="81"/>
      <c r="E81" s="72"/>
      <c r="F81" s="79"/>
      <c r="G81" s="79"/>
    </row>
    <row r="82" spans="1:9" ht="22.5" customHeight="1" x14ac:dyDescent="0.2">
      <c r="A82" s="23"/>
      <c r="B82" s="81" t="s">
        <v>91</v>
      </c>
      <c r="C82" s="81"/>
      <c r="E82" s="72"/>
      <c r="F82" s="79"/>
      <c r="G82" s="79"/>
    </row>
    <row r="83" spans="1:9" ht="22.5" customHeight="1" x14ac:dyDescent="0.2">
      <c r="A83" s="23"/>
      <c r="B83" s="55" t="s">
        <v>32</v>
      </c>
      <c r="C83" s="55"/>
      <c r="E83" s="72"/>
      <c r="F83" s="79"/>
      <c r="G83" s="79"/>
    </row>
    <row r="84" spans="1:9" ht="22.5" customHeight="1" x14ac:dyDescent="0.2">
      <c r="A84" s="23"/>
      <c r="B84" s="55" t="s">
        <v>33</v>
      </c>
      <c r="C84" s="55"/>
      <c r="E84" s="128"/>
      <c r="F84" s="79"/>
      <c r="G84" s="79"/>
    </row>
    <row r="85" spans="1:9" ht="22.5" customHeight="1" thickBot="1" x14ac:dyDescent="0.25">
      <c r="A85" s="23"/>
      <c r="B85" s="124" t="s">
        <v>157</v>
      </c>
      <c r="C85" s="124"/>
      <c r="D85" s="139"/>
      <c r="E85" s="127"/>
      <c r="F85" s="79"/>
      <c r="G85" s="79"/>
    </row>
    <row r="86" spans="1:9" ht="22.5" customHeight="1" thickBot="1" x14ac:dyDescent="0.25">
      <c r="A86" s="23"/>
      <c r="B86" s="26" t="s">
        <v>7</v>
      </c>
      <c r="C86" s="26"/>
      <c r="E86" s="126">
        <f>SUM(E72:E84)</f>
        <v>0</v>
      </c>
      <c r="F86" s="76"/>
      <c r="G86" s="76"/>
      <c r="H86" s="144" t="str">
        <f>IF(E86=0,Grundeinstellungen!B38,IF(E86&gt;E107,Grundeinstellungen!B37,Grundeinstellungen!B36))</f>
        <v>• • •</v>
      </c>
      <c r="I86" s="97" t="str">
        <f>VLOOKUP(H86,Grundeinstellungen!$B$36:$C$38,2)</f>
        <v xml:space="preserve"> </v>
      </c>
    </row>
    <row r="87" spans="1:9" ht="22.5" customHeight="1" thickTop="1" x14ac:dyDescent="0.2">
      <c r="A87" s="23"/>
      <c r="B87" s="26"/>
      <c r="C87" s="26"/>
      <c r="E87" s="76"/>
      <c r="F87" s="76"/>
      <c r="G87" s="76"/>
      <c r="H87" s="97"/>
      <c r="I87" s="97"/>
    </row>
    <row r="88" spans="1:9" ht="22.5" customHeight="1" x14ac:dyDescent="0.2">
      <c r="A88" s="23"/>
      <c r="B88" s="55"/>
      <c r="C88" s="55"/>
      <c r="D88" s="23"/>
      <c r="E88" s="82"/>
      <c r="F88" s="82"/>
      <c r="G88" s="82"/>
      <c r="H88" s="48"/>
      <c r="I88" s="48"/>
    </row>
    <row r="89" spans="1:9" ht="22.5" customHeight="1" x14ac:dyDescent="0.2">
      <c r="A89" s="23"/>
      <c r="B89" s="55" t="s">
        <v>241</v>
      </c>
      <c r="C89" s="55"/>
      <c r="D89" s="23"/>
      <c r="E89" s="101">
        <f>E107</f>
        <v>0</v>
      </c>
      <c r="F89" s="83"/>
      <c r="G89" s="83"/>
      <c r="H89" s="48"/>
      <c r="I89" s="48"/>
    </row>
    <row r="90" spans="1:9" ht="22.5" customHeight="1" x14ac:dyDescent="0.2">
      <c r="A90" s="23"/>
      <c r="B90" s="55" t="s">
        <v>242</v>
      </c>
      <c r="C90" s="55"/>
      <c r="D90" s="23"/>
      <c r="E90" s="101">
        <f>E113</f>
        <v>0</v>
      </c>
      <c r="F90" s="83"/>
      <c r="G90" s="83"/>
      <c r="H90" s="48"/>
      <c r="I90" s="48"/>
    </row>
    <row r="91" spans="1:9" ht="22.5" customHeight="1" x14ac:dyDescent="0.2">
      <c r="A91" s="23"/>
      <c r="B91" s="55" t="s">
        <v>243</v>
      </c>
      <c r="C91" s="55"/>
      <c r="D91" s="23"/>
      <c r="E91" s="101">
        <f>E123</f>
        <v>0</v>
      </c>
      <c r="F91" s="83"/>
      <c r="G91" s="83"/>
      <c r="H91" s="48"/>
      <c r="I91" s="48"/>
    </row>
    <row r="92" spans="1:9" ht="22.5" customHeight="1" x14ac:dyDescent="0.2">
      <c r="A92" s="23"/>
      <c r="B92" s="55" t="s">
        <v>72</v>
      </c>
      <c r="C92" s="55"/>
      <c r="E92" s="90">
        <f>'Basisdaten Gemeinde'!E93*E57</f>
        <v>0</v>
      </c>
      <c r="F92" s="76"/>
      <c r="G92" s="76"/>
      <c r="H92" s="97"/>
      <c r="I92" s="97"/>
    </row>
    <row r="93" spans="1:9" ht="22.5" customHeight="1" x14ac:dyDescent="0.2">
      <c r="B93" s="59"/>
      <c r="C93" s="59"/>
      <c r="E93" s="76"/>
      <c r="F93" s="76"/>
      <c r="G93" s="76"/>
    </row>
    <row r="94" spans="1:9" ht="22.5" customHeight="1" x14ac:dyDescent="0.2">
      <c r="A94" s="23"/>
      <c r="B94" s="55"/>
      <c r="C94" s="55"/>
      <c r="E94" s="76"/>
      <c r="F94" s="76"/>
      <c r="G94" s="76"/>
    </row>
    <row r="95" spans="1:9" ht="22.5" customHeight="1" x14ac:dyDescent="0.2">
      <c r="A95" s="23"/>
      <c r="B95" s="84" t="s">
        <v>71</v>
      </c>
      <c r="C95" s="84"/>
      <c r="D95" s="85"/>
      <c r="E95" s="86">
        <f>IF(H95=Grundeinstellungen!B37,0,IF(E123&gt;E57,0,IF((E57-E123)&gt;E92,E92,E57-E123)))</f>
        <v>0</v>
      </c>
      <c r="F95" s="87"/>
      <c r="G95" s="87"/>
      <c r="H95" s="144" t="str">
        <f>IF(COUNTIF(H33:H92,Grundeinstellungen!B37)&gt;0,Grundeinstellungen!B37,Grundeinstellungen!B36)</f>
        <v xml:space="preserve">✔ </v>
      </c>
      <c r="I95" s="97" t="str">
        <f>VLOOKUP(H95,Grundeinstellungen!$B$36:$C$38,2)</f>
        <v>Anspruchsvoraussetzungen erfüllt</v>
      </c>
    </row>
    <row r="96" spans="1:9" ht="22.5" customHeight="1" x14ac:dyDescent="0.2">
      <c r="A96" s="23"/>
      <c r="B96" s="88" t="s">
        <v>73</v>
      </c>
      <c r="C96" s="88"/>
      <c r="D96" s="89"/>
      <c r="E96" s="90">
        <f>ROUND(E95/12/0.05,0)*0.05</f>
        <v>0</v>
      </c>
      <c r="F96" s="76"/>
      <c r="G96" s="76"/>
    </row>
    <row r="97" spans="1:9" ht="22.5" customHeight="1" x14ac:dyDescent="0.2">
      <c r="A97" s="23"/>
      <c r="D97" s="23"/>
      <c r="E97" s="23"/>
      <c r="F97" s="23"/>
      <c r="G97" s="23"/>
      <c r="H97" s="97"/>
      <c r="I97" s="97"/>
    </row>
    <row r="98" spans="1:9" ht="22.5" customHeight="1" x14ac:dyDescent="0.2">
      <c r="A98" s="23"/>
      <c r="D98" s="23"/>
      <c r="E98" s="23"/>
      <c r="F98" s="23"/>
      <c r="G98" s="23"/>
      <c r="H98" s="97"/>
      <c r="I98" s="97"/>
    </row>
    <row r="99" spans="1:9" ht="22.5" customHeight="1" x14ac:dyDescent="0.2">
      <c r="A99" s="23"/>
      <c r="B99" s="26" t="s">
        <v>121</v>
      </c>
      <c r="C99" s="26"/>
      <c r="D99" s="23"/>
      <c r="E99" s="23"/>
      <c r="F99" s="23"/>
      <c r="G99" s="23"/>
      <c r="H99" s="97"/>
      <c r="I99" s="97"/>
    </row>
    <row r="100" spans="1:9" ht="22.5" customHeight="1" x14ac:dyDescent="0.2">
      <c r="A100" s="23"/>
    </row>
    <row r="101" spans="1:9" ht="22.5" customHeight="1" x14ac:dyDescent="0.2">
      <c r="A101" s="23"/>
      <c r="B101" s="91" t="s">
        <v>38</v>
      </c>
      <c r="C101" s="91"/>
    </row>
    <row r="102" spans="1:9" ht="16.5" customHeight="1" x14ac:dyDescent="0.2">
      <c r="A102" s="23"/>
      <c r="B102" s="140" t="s">
        <v>119</v>
      </c>
      <c r="C102" s="140"/>
    </row>
    <row r="103" spans="1:9" ht="22.5" customHeight="1" x14ac:dyDescent="0.2">
      <c r="A103" s="23"/>
      <c r="B103" s="173" t="s">
        <v>82</v>
      </c>
      <c r="C103" s="173"/>
      <c r="D103" s="143" t="str">
        <f>E58</f>
        <v/>
      </c>
      <c r="E103" s="82"/>
      <c r="F103" s="82"/>
      <c r="G103" s="82"/>
    </row>
    <row r="104" spans="1:9" ht="22.5" customHeight="1" x14ac:dyDescent="0.2">
      <c r="A104" s="23"/>
      <c r="B104" s="173" t="str">
        <f>'Basisdaten Gemeinde'!E19*100&amp;"% des Sozialhilfegrundbedarfs"</f>
        <v>130% des Sozialhilfegrundbedarfs</v>
      </c>
      <c r="C104" s="173"/>
      <c r="D104" s="110" t="str">
        <f>IF(SUM(Berechnungen!C4:C6)=0,"",LOOKUP(SUM(Berechnungen!C4:C6),'Basisdaten Gemeinde'!B23:B32,'Basisdaten Gemeinde'!E23:E32))</f>
        <v/>
      </c>
      <c r="E104" s="82"/>
      <c r="F104" s="82"/>
      <c r="G104" s="82"/>
    </row>
    <row r="105" spans="1:9" ht="22.5" customHeight="1" x14ac:dyDescent="0.2">
      <c r="A105" s="23"/>
      <c r="B105" s="92" t="s">
        <v>80</v>
      </c>
      <c r="C105" s="92"/>
      <c r="D105" s="111">
        <f>E57</f>
        <v>0</v>
      </c>
      <c r="E105" s="82"/>
      <c r="F105" s="82"/>
      <c r="G105" s="82"/>
    </row>
    <row r="106" spans="1:9" ht="22.5" customHeight="1" x14ac:dyDescent="0.2">
      <c r="A106" s="23"/>
      <c r="B106" s="92" t="s">
        <v>81</v>
      </c>
      <c r="C106" s="92"/>
      <c r="D106" s="113">
        <f>E59</f>
        <v>0</v>
      </c>
      <c r="E106" s="82"/>
      <c r="F106" s="82"/>
      <c r="G106" s="82"/>
    </row>
    <row r="107" spans="1:9" ht="22.5" customHeight="1" x14ac:dyDescent="0.2">
      <c r="A107" s="23"/>
      <c r="B107" s="92" t="s">
        <v>99</v>
      </c>
      <c r="C107" s="92"/>
      <c r="D107" s="114"/>
      <c r="E107" s="115">
        <f>SUM(D103:D106)</f>
        <v>0</v>
      </c>
      <c r="F107" s="76"/>
      <c r="G107" s="76"/>
    </row>
    <row r="108" spans="1:9" ht="22.5" customHeight="1" x14ac:dyDescent="0.2">
      <c r="A108" s="23"/>
      <c r="B108" s="92"/>
      <c r="C108" s="92"/>
      <c r="D108" s="82"/>
      <c r="E108" s="76"/>
      <c r="F108" s="76"/>
      <c r="G108" s="76"/>
    </row>
    <row r="109" spans="1:9" ht="22.5" customHeight="1" x14ac:dyDescent="0.2">
      <c r="A109" s="23"/>
      <c r="B109" s="91" t="s">
        <v>67</v>
      </c>
      <c r="C109" s="91"/>
      <c r="D109" s="82"/>
      <c r="E109" s="76"/>
      <c r="F109" s="76"/>
      <c r="G109" s="76"/>
    </row>
    <row r="110" spans="1:9" ht="43.5" customHeight="1" x14ac:dyDescent="0.2">
      <c r="A110" s="23"/>
      <c r="B110" s="178" t="s">
        <v>68</v>
      </c>
      <c r="C110" s="178"/>
      <c r="D110" s="178"/>
      <c r="E110" s="178"/>
      <c r="F110" s="178"/>
      <c r="G110" s="178"/>
      <c r="H110" s="178"/>
    </row>
    <row r="111" spans="1:9" ht="22.5" customHeight="1" x14ac:dyDescent="0.2">
      <c r="A111" s="23"/>
      <c r="B111" s="92" t="s">
        <v>120</v>
      </c>
      <c r="C111" s="92"/>
      <c r="D111" s="112" t="str">
        <f>IF(SUM(Berechnungen!C4:C6)=0,"",LOOKUP(SUM(Berechnungen!C4:C6),'Basisdaten Gemeinde'!B23:B32,'Basisdaten Gemeinde'!F23:F32))</f>
        <v/>
      </c>
      <c r="E111" s="82"/>
      <c r="F111" s="82"/>
      <c r="G111" s="82"/>
    </row>
    <row r="112" spans="1:9" ht="22.5" customHeight="1" x14ac:dyDescent="0.2">
      <c r="A112" s="23"/>
      <c r="B112" s="92" t="s">
        <v>244</v>
      </c>
      <c r="C112" s="92"/>
      <c r="D112" s="115">
        <f>IFERROR(75%*(E86-D111),0)</f>
        <v>0</v>
      </c>
      <c r="E112" s="82"/>
      <c r="F112" s="82"/>
      <c r="G112" s="82"/>
    </row>
    <row r="113" spans="1:9" ht="22.5" customHeight="1" x14ac:dyDescent="0.2">
      <c r="A113" s="23"/>
      <c r="B113" s="92" t="s">
        <v>67</v>
      </c>
      <c r="C113" s="92"/>
      <c r="D113" s="114"/>
      <c r="E113" s="115">
        <f>SUM(D111:D112)</f>
        <v>0</v>
      </c>
      <c r="F113" s="76"/>
      <c r="G113" s="76"/>
    </row>
    <row r="114" spans="1:9" ht="22.5" customHeight="1" x14ac:dyDescent="0.2">
      <c r="B114" s="92"/>
      <c r="C114" s="92"/>
      <c r="D114" s="82"/>
      <c r="E114" s="76"/>
      <c r="F114" s="76"/>
      <c r="G114" s="76"/>
    </row>
    <row r="115" spans="1:9" ht="22.5" customHeight="1" x14ac:dyDescent="0.2">
      <c r="B115" s="91" t="s">
        <v>69</v>
      </c>
      <c r="C115" s="91"/>
      <c r="D115" s="82"/>
      <c r="E115" s="76"/>
      <c r="F115" s="76"/>
      <c r="G115" s="76"/>
    </row>
    <row r="116" spans="1:9" ht="16.5" customHeight="1" x14ac:dyDescent="0.2">
      <c r="B116" s="140" t="s">
        <v>70</v>
      </c>
      <c r="C116" s="140"/>
      <c r="D116" s="82"/>
      <c r="E116" s="76"/>
      <c r="F116" s="76"/>
      <c r="G116" s="76"/>
    </row>
    <row r="117" spans="1:9" ht="22.5" customHeight="1" x14ac:dyDescent="0.2">
      <c r="B117" s="92" t="s">
        <v>85</v>
      </c>
      <c r="C117" s="92"/>
      <c r="D117" s="112">
        <f>E113</f>
        <v>0</v>
      </c>
      <c r="E117" s="82"/>
      <c r="F117" s="82"/>
      <c r="G117" s="82"/>
      <c r="H117" s="97"/>
      <c r="I117" s="97"/>
    </row>
    <row r="118" spans="1:9" ht="22.5" customHeight="1" x14ac:dyDescent="0.2">
      <c r="B118" s="174" t="str">
        <f>"- "&amp;'Basisdaten Gemeinde'!E16*100&amp;" % SH-Grundbedarf"</f>
        <v>- 100 % SH-Grundbedarf</v>
      </c>
      <c r="C118" s="174"/>
      <c r="D118" s="90">
        <f>IFERROR(D111/130%*'Basisdaten Gemeinde'!E16*-1,0)</f>
        <v>0</v>
      </c>
      <c r="E118" s="82"/>
      <c r="F118" s="82"/>
      <c r="G118" s="82"/>
      <c r="H118" s="97"/>
      <c r="I118" s="97"/>
    </row>
    <row r="119" spans="1:9" ht="34.5" customHeight="1" x14ac:dyDescent="0.2">
      <c r="B119" s="175" t="s">
        <v>180</v>
      </c>
      <c r="C119" s="175"/>
      <c r="D119" s="90">
        <f>IF(E58="",0,E58*-1)</f>
        <v>0</v>
      </c>
      <c r="E119" s="82"/>
      <c r="F119" s="82"/>
      <c r="G119" s="82"/>
      <c r="H119" s="97"/>
      <c r="I119" s="97"/>
    </row>
    <row r="120" spans="1:9" ht="22.5" customHeight="1" x14ac:dyDescent="0.2">
      <c r="B120" s="93" t="s">
        <v>86</v>
      </c>
      <c r="C120" s="93"/>
      <c r="D120" s="90">
        <f>E59*-1</f>
        <v>0</v>
      </c>
      <c r="E120" s="82"/>
      <c r="F120" s="82"/>
      <c r="G120" s="82"/>
      <c r="H120" s="97"/>
      <c r="I120" s="97"/>
    </row>
    <row r="121" spans="1:9" ht="22.5" customHeight="1" x14ac:dyDescent="0.2">
      <c r="B121" s="93" t="s">
        <v>87</v>
      </c>
      <c r="C121" s="93"/>
      <c r="D121" s="90">
        <f>E60*-1</f>
        <v>0</v>
      </c>
      <c r="E121" s="82"/>
      <c r="F121" s="82"/>
      <c r="G121" s="82"/>
      <c r="H121" s="97"/>
      <c r="I121" s="97"/>
    </row>
    <row r="122" spans="1:9" ht="22.5" customHeight="1" x14ac:dyDescent="0.2">
      <c r="B122" s="93" t="s">
        <v>100</v>
      </c>
      <c r="C122" s="93"/>
      <c r="D122" s="115">
        <f>SUM(E62:E66)*-1</f>
        <v>0</v>
      </c>
      <c r="E122" s="82"/>
      <c r="F122" s="82"/>
      <c r="G122" s="82"/>
      <c r="H122" s="97"/>
      <c r="I122" s="97"/>
    </row>
    <row r="123" spans="1:9" ht="22.5" customHeight="1" x14ac:dyDescent="0.2">
      <c r="B123" s="92" t="s">
        <v>69</v>
      </c>
      <c r="C123" s="92"/>
      <c r="D123" s="114"/>
      <c r="E123" s="115">
        <f>SUM(D117:D122)</f>
        <v>0</v>
      </c>
      <c r="F123" s="76"/>
      <c r="G123" s="76"/>
      <c r="H123" s="97"/>
      <c r="I123" s="97"/>
    </row>
  </sheetData>
  <sheetProtection sheet="1" formatRows="0"/>
  <mergeCells count="32">
    <mergeCell ref="B55:C55"/>
    <mergeCell ref="B56:C56"/>
    <mergeCell ref="B58:C58"/>
    <mergeCell ref="B67:C67"/>
    <mergeCell ref="B62:C62"/>
    <mergeCell ref="D35:E35"/>
    <mergeCell ref="D37:E37"/>
    <mergeCell ref="G24:H24"/>
    <mergeCell ref="G25:H25"/>
    <mergeCell ref="G26:H26"/>
    <mergeCell ref="G27:H27"/>
    <mergeCell ref="G28:H28"/>
    <mergeCell ref="G29:H29"/>
    <mergeCell ref="G30:H30"/>
    <mergeCell ref="G31:H31"/>
    <mergeCell ref="G21:H21"/>
    <mergeCell ref="G22:H22"/>
    <mergeCell ref="G23:H23"/>
    <mergeCell ref="D5:H5"/>
    <mergeCell ref="D8:H8"/>
    <mergeCell ref="G20:H20"/>
    <mergeCell ref="G19:H19"/>
    <mergeCell ref="D6:H6"/>
    <mergeCell ref="B104:C104"/>
    <mergeCell ref="B118:C118"/>
    <mergeCell ref="B119:C119"/>
    <mergeCell ref="B63:C63"/>
    <mergeCell ref="B64:C64"/>
    <mergeCell ref="B65:C65"/>
    <mergeCell ref="B66:C66"/>
    <mergeCell ref="B103:C103"/>
    <mergeCell ref="B110:H110"/>
  </mergeCells>
  <phoneticPr fontId="31" type="noConversion"/>
  <conditionalFormatting sqref="F20:G31">
    <cfRule type="expression" dxfId="2" priority="13">
      <formula>$E20&gt;=18</formula>
    </cfRule>
  </conditionalFormatting>
  <dataValidations count="1">
    <dataValidation type="list" allowBlank="1" showInputMessage="1" showErrorMessage="1" sqref="F20:F31" xr:uid="{00000000-0002-0000-0000-000000000000}">
      <formula1>"Ja,Nein"</formula1>
    </dataValidation>
  </dataValidations>
  <pageMargins left="0.98425196850393704" right="0.59055118110236227" top="0.78740157480314965" bottom="0.78740157480314965" header="0.39370078740157483" footer="0.39370078740157483"/>
  <pageSetup paperSize="9" scale="71" fitToHeight="0" orientation="portrait" r:id="rId1"/>
  <headerFooter scaleWithDoc="0">
    <oddFooter>&amp;L&amp;7Berechnung Mietzinsbeiträge&amp;R&amp;7&amp;D  -  Seite &amp;P/&amp;N</oddFooter>
  </headerFooter>
  <rowBreaks count="2" manualBreakCount="2">
    <brk id="52" min="1" max="7" man="1"/>
    <brk id="98" min="1" max="6" man="1"/>
  </rowBreaks>
  <legacyDrawing r:id="rId2"/>
  <extLst>
    <ext xmlns:x14="http://schemas.microsoft.com/office/spreadsheetml/2009/9/main" uri="{78C0D931-6437-407d-A8EE-F0AAD7539E65}">
      <x14:conditionalFormattings>
        <x14:conditionalFormatting xmlns:xm="http://schemas.microsoft.com/office/excel/2006/main">
          <x14:cfRule type="cellIs" priority="11" operator="equal" id="{2E555D20-EE4D-446F-936A-0B31B89CADB7}">
            <xm:f>Grundeinstellungen!$B$37</xm:f>
            <x14:dxf>
              <font>
                <color theme="1"/>
              </font>
              <fill>
                <patternFill>
                  <bgColor theme="4" tint="0.79998168889431442"/>
                </patternFill>
              </fill>
            </x14:dxf>
          </x14:cfRule>
          <x14:cfRule type="cellIs" priority="12" operator="equal" id="{7BFAB927-AF49-48FF-ABC6-BD7785B181C7}">
            <xm:f>Grundeinstellungen!$B$36</xm:f>
            <x14:dxf>
              <fill>
                <patternFill>
                  <bgColor theme="9"/>
                </patternFill>
              </fill>
            </x14:dxf>
          </x14:cfRule>
          <xm:sqref>I23 H33 H40 H42 H51 H86 H95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Grundeinstellungen!$B$9:$B$14</xm:f>
          </x14:formula1>
          <xm:sqref>E42</xm:sqref>
        </x14:dataValidation>
        <x14:dataValidation type="list" allowBlank="1" showInputMessage="1" showErrorMessage="1" xr:uid="{00000000-0002-0000-0000-000002000000}">
          <x14:formula1>
            <xm:f>Grundeinstellungen!$B$19:$B$20</xm:f>
          </x14:formula1>
          <xm:sqref>D37</xm:sqref>
        </x14:dataValidation>
        <x14:dataValidation type="list" allowBlank="1" showInputMessage="1" showErrorMessage="1" xr:uid="{00000000-0002-0000-0000-000003000000}">
          <x14:formula1>
            <xm:f>'Basisdaten Gemeinde'!$B$83:$B$86</xm:f>
          </x14:formula1>
          <xm:sqref>D35</xm:sqref>
        </x14:dataValidation>
        <x14:dataValidation type="list" allowBlank="1" showInputMessage="1" showErrorMessage="1" xr:uid="{00000000-0002-0000-0000-000004000000}">
          <x14:formula1>
            <xm:f>Grundeinstellungen!$B$5:$B$6</xm:f>
          </x14:formula1>
          <xm:sqref>D42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48"/>
  <sheetViews>
    <sheetView showGridLines="0" topLeftCell="A16" zoomScaleNormal="100" workbookViewId="0">
      <selection activeCell="D31" sqref="D31"/>
    </sheetView>
  </sheetViews>
  <sheetFormatPr baseColWidth="10" defaultRowHeight="14.25" x14ac:dyDescent="0.2"/>
  <cols>
    <col min="1" max="1" width="3.75" customWidth="1"/>
    <col min="2" max="2" width="3.125" style="149" customWidth="1"/>
    <col min="3" max="3" width="62.375" style="149" customWidth="1"/>
    <col min="4" max="4" width="11.5" customWidth="1"/>
    <col min="16" max="16" width="11" style="160"/>
  </cols>
  <sheetData>
    <row r="1" spans="2:16" ht="22.5" customHeight="1" x14ac:dyDescent="0.2"/>
    <row r="2" spans="2:16" ht="19.5" x14ac:dyDescent="0.2">
      <c r="B2" s="148" t="s">
        <v>210</v>
      </c>
    </row>
    <row r="3" spans="2:16" s="151" customFormat="1" ht="12.75" x14ac:dyDescent="0.2">
      <c r="B3" s="150" t="str">
        <f>"(als Bestandteil der Verfügung vom "&amp;DAY(Eingabe!D9)&amp;"."&amp;MONTH(Eingabe!D9)&amp;"."&amp;YEAR(Eingabe!D9)&amp;")"</f>
        <v>(als Bestandteil der Verfügung vom 0.1.1900)</v>
      </c>
      <c r="C3" s="150"/>
      <c r="P3" s="160"/>
    </row>
    <row r="4" spans="2:16" s="151" customFormat="1" ht="12.75" x14ac:dyDescent="0.2">
      <c r="B4" s="150"/>
      <c r="C4" s="150"/>
      <c r="P4" s="160"/>
    </row>
    <row r="5" spans="2:16" s="151" customFormat="1" ht="12.75" x14ac:dyDescent="0.2">
      <c r="B5" s="150"/>
      <c r="C5" s="150"/>
      <c r="P5" s="160"/>
    </row>
    <row r="6" spans="2:16" s="151" customFormat="1" ht="12.75" x14ac:dyDescent="0.2">
      <c r="B6" s="152" t="s">
        <v>192</v>
      </c>
      <c r="C6" s="150"/>
      <c r="P6" s="160"/>
    </row>
    <row r="7" spans="2:16" s="151" customFormat="1" ht="12.75" x14ac:dyDescent="0.2">
      <c r="B7" s="150"/>
      <c r="C7" s="150"/>
      <c r="P7" s="160"/>
    </row>
    <row r="8" spans="2:16" s="151" customFormat="1" ht="18.75" customHeight="1" x14ac:dyDescent="0.2">
      <c r="B8" s="164" t="s">
        <v>234</v>
      </c>
      <c r="C8" s="150"/>
      <c r="D8" s="159" t="s">
        <v>211</v>
      </c>
      <c r="P8" s="160"/>
    </row>
    <row r="9" spans="2:16" s="151" customFormat="1" ht="14.25" customHeight="1" x14ac:dyDescent="0.2">
      <c r="B9" s="150"/>
      <c r="C9" s="153" t="str">
        <f>Eingabe!B104</f>
        <v>130% des Sozialhilfegrundbedarfs</v>
      </c>
      <c r="D9" s="154" t="str">
        <f>Eingabe!D104</f>
        <v/>
      </c>
      <c r="P9" s="160"/>
    </row>
    <row r="10" spans="2:16" s="151" customFormat="1" ht="28.5" customHeight="1" x14ac:dyDescent="0.2">
      <c r="B10" s="150" t="s">
        <v>193</v>
      </c>
      <c r="C10" s="153" t="s">
        <v>209</v>
      </c>
      <c r="D10" s="154" t="str">
        <f>Eingabe!D103</f>
        <v/>
      </c>
      <c r="P10" s="160"/>
    </row>
    <row r="11" spans="2:16" s="151" customFormat="1" ht="54.75" customHeight="1" x14ac:dyDescent="0.2">
      <c r="B11" s="150" t="s">
        <v>193</v>
      </c>
      <c r="C11" s="153" t="s">
        <v>233</v>
      </c>
      <c r="D11" s="154">
        <f>Eingabe!D105</f>
        <v>0</v>
      </c>
      <c r="P11" s="160"/>
    </row>
    <row r="12" spans="2:16" s="151" customFormat="1" ht="14.25" customHeight="1" x14ac:dyDescent="0.2">
      <c r="B12" s="150" t="s">
        <v>193</v>
      </c>
      <c r="C12" s="155" t="s">
        <v>43</v>
      </c>
      <c r="D12" s="156">
        <f>Eingabe!D106</f>
        <v>0</v>
      </c>
      <c r="P12" s="160"/>
    </row>
    <row r="13" spans="2:16" s="151" customFormat="1" ht="14.25" customHeight="1" x14ac:dyDescent="0.2">
      <c r="B13" s="150" t="s">
        <v>194</v>
      </c>
      <c r="C13" s="153" t="s">
        <v>195</v>
      </c>
      <c r="D13" s="154">
        <f>SUM(D9:D12)</f>
        <v>0</v>
      </c>
      <c r="P13" s="160"/>
    </row>
    <row r="14" spans="2:16" s="151" customFormat="1" ht="14.25" customHeight="1" x14ac:dyDescent="0.2">
      <c r="B14" s="150"/>
      <c r="C14" s="153"/>
      <c r="P14" s="160"/>
    </row>
    <row r="15" spans="2:16" s="151" customFormat="1" ht="18.75" customHeight="1" x14ac:dyDescent="0.2">
      <c r="B15" s="158" t="s">
        <v>196</v>
      </c>
      <c r="C15" s="153"/>
      <c r="P15" s="160"/>
    </row>
    <row r="16" spans="2:16" s="151" customFormat="1" ht="13.15" customHeight="1" x14ac:dyDescent="0.2">
      <c r="B16" s="150"/>
      <c r="C16" s="153" t="str">
        <f>"entspricht dem "&amp;'Basisdaten Gemeinde'!C37&amp;"-fachen des Vermögensfreibetrags in der Sozialhilfe"</f>
        <v>entspricht dem 5-fachen des Vermögensfreibetrags in der Sozialhilfe</v>
      </c>
      <c r="D16" s="154" t="str">
        <f>Eingabe!D51</f>
        <v/>
      </c>
      <c r="P16" s="160"/>
    </row>
    <row r="17" spans="2:16" s="151" customFormat="1" ht="14.25" customHeight="1" x14ac:dyDescent="0.2">
      <c r="B17" s="150"/>
      <c r="C17" s="153"/>
      <c r="P17" s="160"/>
    </row>
    <row r="18" spans="2:16" s="151" customFormat="1" ht="14.25" customHeight="1" x14ac:dyDescent="0.2">
      <c r="B18" s="157" t="s">
        <v>197</v>
      </c>
      <c r="C18" s="153"/>
      <c r="P18" s="160"/>
    </row>
    <row r="19" spans="2:16" s="151" customFormat="1" ht="14.25" customHeight="1" x14ac:dyDescent="0.2">
      <c r="B19" s="157"/>
      <c r="C19" s="153"/>
      <c r="P19" s="160"/>
    </row>
    <row r="20" spans="2:16" s="151" customFormat="1" ht="18.75" customHeight="1" x14ac:dyDescent="0.2">
      <c r="B20" s="158" t="s">
        <v>198</v>
      </c>
      <c r="C20" s="153"/>
      <c r="P20" s="160"/>
    </row>
    <row r="21" spans="2:16" s="151" customFormat="1" ht="14.25" customHeight="1" x14ac:dyDescent="0.2">
      <c r="B21" s="150"/>
      <c r="C21" s="153" t="s">
        <v>199</v>
      </c>
      <c r="D21" s="154" t="str">
        <f>Eingabe!D111</f>
        <v/>
      </c>
      <c r="P21" s="160"/>
    </row>
    <row r="22" spans="2:16" s="151" customFormat="1" ht="14.25" customHeight="1" x14ac:dyDescent="0.2">
      <c r="B22" s="150" t="s">
        <v>193</v>
      </c>
      <c r="C22" s="155" t="str">
        <f>Eingabe!B112</f>
        <v>75% * (Jahresnettoeinkommen - 130 % SH-Grundbedarf)</v>
      </c>
      <c r="D22" s="156">
        <f>Eingabe!D112</f>
        <v>0</v>
      </c>
      <c r="P22" s="160"/>
    </row>
    <row r="23" spans="2:16" s="151" customFormat="1" ht="14.25" customHeight="1" x14ac:dyDescent="0.2">
      <c r="B23" s="150" t="s">
        <v>194</v>
      </c>
      <c r="C23" s="153" t="s">
        <v>85</v>
      </c>
      <c r="D23" s="154">
        <f>Eingabe!E113</f>
        <v>0</v>
      </c>
      <c r="P23" s="160"/>
    </row>
    <row r="24" spans="2:16" s="151" customFormat="1" ht="14.25" customHeight="1" x14ac:dyDescent="0.2">
      <c r="B24" s="150"/>
      <c r="C24" s="153"/>
      <c r="P24" s="160"/>
    </row>
    <row r="25" spans="2:16" s="151" customFormat="1" ht="13.5" customHeight="1" x14ac:dyDescent="0.2">
      <c r="B25" s="158" t="s">
        <v>69</v>
      </c>
      <c r="C25" s="153"/>
      <c r="P25" s="160"/>
    </row>
    <row r="26" spans="2:16" s="151" customFormat="1" ht="18" customHeight="1" x14ac:dyDescent="0.2">
      <c r="B26" s="165" t="s">
        <v>235</v>
      </c>
      <c r="C26" s="153"/>
      <c r="P26" s="160"/>
    </row>
    <row r="27" spans="2:16" s="151" customFormat="1" ht="14.25" customHeight="1" x14ac:dyDescent="0.2">
      <c r="B27" s="150"/>
      <c r="C27" s="153" t="s">
        <v>85</v>
      </c>
      <c r="D27" s="154">
        <f>Eingabe!D117</f>
        <v>0</v>
      </c>
      <c r="P27" s="160"/>
    </row>
    <row r="28" spans="2:16" s="151" customFormat="1" ht="14.25" customHeight="1" x14ac:dyDescent="0.2">
      <c r="B28" s="150" t="s">
        <v>200</v>
      </c>
      <c r="C28" s="153" t="str">
        <f>'Basisdaten Gemeinde'!E16*100&amp;" % SH-Grundbedarf"</f>
        <v>100 % SH-Grundbedarf</v>
      </c>
      <c r="D28" s="154">
        <f>Eingabe!D118</f>
        <v>0</v>
      </c>
      <c r="P28" s="160"/>
    </row>
    <row r="29" spans="2:16" s="151" customFormat="1" ht="28.5" customHeight="1" x14ac:dyDescent="0.2">
      <c r="B29" s="150" t="s">
        <v>200</v>
      </c>
      <c r="C29" s="153" t="s">
        <v>212</v>
      </c>
      <c r="D29" s="154">
        <f>Eingabe!D119</f>
        <v>0</v>
      </c>
      <c r="P29" s="160"/>
    </row>
    <row r="30" spans="2:16" s="151" customFormat="1" ht="14.25" customHeight="1" x14ac:dyDescent="0.2">
      <c r="B30" s="150" t="s">
        <v>200</v>
      </c>
      <c r="C30" s="153" t="s">
        <v>43</v>
      </c>
      <c r="D30" s="154">
        <f>Eingabe!D120</f>
        <v>0</v>
      </c>
      <c r="P30" s="160"/>
    </row>
    <row r="31" spans="2:16" s="151" customFormat="1" ht="14.25" customHeight="1" x14ac:dyDescent="0.2">
      <c r="B31" s="150" t="s">
        <v>200</v>
      </c>
      <c r="C31" s="153" t="s">
        <v>201</v>
      </c>
      <c r="D31" s="154">
        <f>Eingabe!D121</f>
        <v>0</v>
      </c>
      <c r="P31" s="160"/>
    </row>
    <row r="32" spans="2:16" s="151" customFormat="1" ht="14.25" customHeight="1" x14ac:dyDescent="0.2">
      <c r="B32" s="150" t="s">
        <v>200</v>
      </c>
      <c r="C32" s="155" t="s">
        <v>202</v>
      </c>
      <c r="D32" s="156">
        <f>Eingabe!D122</f>
        <v>0</v>
      </c>
      <c r="P32" s="160"/>
    </row>
    <row r="33" spans="2:16" s="151" customFormat="1" ht="14.25" customHeight="1" x14ac:dyDescent="0.2">
      <c r="B33" s="150" t="s">
        <v>194</v>
      </c>
      <c r="C33" s="153" t="s">
        <v>69</v>
      </c>
      <c r="D33" s="154">
        <f>SUM(D27:D32)</f>
        <v>0</v>
      </c>
      <c r="P33" s="160"/>
    </row>
    <row r="34" spans="2:16" s="151" customFormat="1" ht="14.25" customHeight="1" x14ac:dyDescent="0.2">
      <c r="B34" s="150"/>
      <c r="C34" s="153"/>
      <c r="P34" s="160"/>
    </row>
    <row r="35" spans="2:16" s="151" customFormat="1" ht="18.75" customHeight="1" x14ac:dyDescent="0.2">
      <c r="B35" s="158" t="s">
        <v>203</v>
      </c>
      <c r="C35" s="153"/>
      <c r="P35" s="160"/>
    </row>
    <row r="36" spans="2:16" s="151" customFormat="1" ht="14.25" customHeight="1" x14ac:dyDescent="0.2">
      <c r="B36" s="150"/>
      <c r="C36" s="153" t="s">
        <v>204</v>
      </c>
      <c r="D36" s="154">
        <f>Eingabe!E57</f>
        <v>0</v>
      </c>
      <c r="P36" s="160"/>
    </row>
    <row r="37" spans="2:16" s="151" customFormat="1" ht="14.25" customHeight="1" x14ac:dyDescent="0.2">
      <c r="B37" s="150" t="s">
        <v>200</v>
      </c>
      <c r="C37" s="155" t="s">
        <v>205</v>
      </c>
      <c r="D37" s="156">
        <f>Eingabe!E123</f>
        <v>0</v>
      </c>
      <c r="P37" s="160"/>
    </row>
    <row r="38" spans="2:16" s="151" customFormat="1" ht="14.25" customHeight="1" x14ac:dyDescent="0.2">
      <c r="B38" s="150" t="s">
        <v>194</v>
      </c>
      <c r="C38" s="153" t="s">
        <v>206</v>
      </c>
      <c r="D38" s="154">
        <f>Eingabe!E95</f>
        <v>0</v>
      </c>
      <c r="P38" s="160"/>
    </row>
    <row r="39" spans="2:16" s="151" customFormat="1" ht="14.25" customHeight="1" x14ac:dyDescent="0.2">
      <c r="B39" s="150"/>
      <c r="C39" s="153" t="s">
        <v>207</v>
      </c>
      <c r="D39" s="154">
        <f>Eingabe!E96</f>
        <v>0</v>
      </c>
      <c r="P39" s="160"/>
    </row>
    <row r="40" spans="2:16" s="151" customFormat="1" ht="14.25" customHeight="1" x14ac:dyDescent="0.2">
      <c r="B40" s="150"/>
      <c r="C40" s="153"/>
      <c r="P40" s="160"/>
    </row>
    <row r="41" spans="2:16" s="151" customFormat="1" ht="18.75" customHeight="1" x14ac:dyDescent="0.2">
      <c r="B41" s="165" t="s">
        <v>236</v>
      </c>
      <c r="C41" s="153"/>
      <c r="P41" s="160"/>
    </row>
    <row r="42" spans="2:16" s="151" customFormat="1" ht="28.5" customHeight="1" x14ac:dyDescent="0.2">
      <c r="B42" s="150"/>
      <c r="C42" s="153" t="str">
        <f>'Basisdaten Gemeinde'!E93*100&amp;" % der Jahresnettomiete zuzüglich 20 % als Nebenkosten beziehungsweise der angemessenen Jahresnettomiete"</f>
        <v>75 % der Jahresnettomiete zuzüglich 20 % als Nebenkosten beziehungsweise der angemessenen Jahresnettomiete</v>
      </c>
      <c r="D42" s="154">
        <f>Eingabe!E57*'Basisdaten Gemeinde'!E93</f>
        <v>0</v>
      </c>
      <c r="P42" s="160"/>
    </row>
    <row r="43" spans="2:16" s="151" customFormat="1" ht="14.25" customHeight="1" x14ac:dyDescent="0.2">
      <c r="B43" s="150"/>
      <c r="C43" s="153" t="s">
        <v>208</v>
      </c>
      <c r="D43" s="166">
        <f>Eingabe!E95</f>
        <v>0</v>
      </c>
      <c r="P43" s="160"/>
    </row>
    <row r="44" spans="2:16" s="151" customFormat="1" ht="12.75" x14ac:dyDescent="0.2">
      <c r="B44" s="150"/>
      <c r="C44" s="150"/>
      <c r="P44" s="160"/>
    </row>
    <row r="45" spans="2:16" s="151" customFormat="1" ht="25.5" customHeight="1" x14ac:dyDescent="0.2">
      <c r="B45" s="189" t="str">
        <f>"Daraus ergibt sich für "&amp;Eingabe!D5&amp;" "&amp;Eingabe!C5&amp;" ein monatlicher Mietzinsbeitrag in der Höhe von CHF "&amp;TEXT('Auszug für Verfügung'!D39,"###0.00")&amp;"."</f>
        <v>Daraus ergibt sich für Vorname Name ein monatlicher Mietzinsbeitrag in der Höhe von CHF 0.00.</v>
      </c>
      <c r="C45" s="189"/>
      <c r="D45" s="189"/>
      <c r="P45" s="160"/>
    </row>
    <row r="46" spans="2:16" s="151" customFormat="1" ht="12.75" x14ac:dyDescent="0.2">
      <c r="B46" s="150"/>
      <c r="C46" s="150"/>
      <c r="P46" s="160"/>
    </row>
    <row r="47" spans="2:16" s="151" customFormat="1" ht="12.75" x14ac:dyDescent="0.2">
      <c r="B47" s="150"/>
      <c r="C47" s="150"/>
      <c r="P47" s="160"/>
    </row>
    <row r="48" spans="2:16" s="151" customFormat="1" ht="12.75" x14ac:dyDescent="0.2">
      <c r="B48" s="150"/>
      <c r="C48" s="150"/>
      <c r="P48" s="160"/>
    </row>
  </sheetData>
  <sheetProtection sheet="1" objects="1" scenarios="1"/>
  <mergeCells count="1">
    <mergeCell ref="B45:D45"/>
  </mergeCells>
  <pageMargins left="0.98425196850393704"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
  <sheetViews>
    <sheetView showGridLines="0" workbookViewId="0">
      <selection activeCell="E12" sqref="E12"/>
    </sheetView>
  </sheetViews>
  <sheetFormatPr baseColWidth="10" defaultColWidth="10.625" defaultRowHeight="14.25" x14ac:dyDescent="0.2"/>
  <cols>
    <col min="1" max="1" width="18" customWidth="1"/>
    <col min="2" max="2" width="11.25" customWidth="1"/>
    <col min="3" max="3" width="16.875" customWidth="1"/>
    <col min="4" max="4" width="27.75" customWidth="1"/>
    <col min="5" max="5" width="15.5" customWidth="1"/>
    <col min="6" max="6" width="15.75" customWidth="1"/>
    <col min="7" max="7" width="8.125" customWidth="1"/>
    <col min="8" max="8" width="22.375" customWidth="1"/>
    <col min="9" max="9" width="10.5" customWidth="1"/>
    <col min="10" max="10" width="13" customWidth="1"/>
    <col min="11" max="11" width="14" customWidth="1"/>
    <col min="12" max="12" width="19.375" customWidth="1"/>
  </cols>
  <sheetData>
    <row r="1" spans="1:12" ht="19.5" x14ac:dyDescent="0.3">
      <c r="A1" s="1" t="s">
        <v>232</v>
      </c>
    </row>
    <row r="3" spans="1:12" ht="45" x14ac:dyDescent="0.2">
      <c r="A3" s="169" t="s">
        <v>237</v>
      </c>
      <c r="B3" s="169" t="s">
        <v>238</v>
      </c>
      <c r="C3" s="169" t="s">
        <v>213</v>
      </c>
      <c r="D3" s="169" t="s">
        <v>225</v>
      </c>
      <c r="E3" s="169" t="s">
        <v>214</v>
      </c>
      <c r="F3" s="169" t="s">
        <v>215</v>
      </c>
      <c r="G3" s="169" t="s">
        <v>216</v>
      </c>
      <c r="H3" s="169" t="s">
        <v>239</v>
      </c>
      <c r="I3" s="169" t="s">
        <v>217</v>
      </c>
      <c r="J3" s="169" t="s">
        <v>218</v>
      </c>
      <c r="K3" s="169" t="str">
        <f>"Anzahl Bezugsmonate im aktuellen Jahr ("&amp;YEAR(Eingabe!D9)&amp;")"</f>
        <v>Anzahl Bezugsmonate im aktuellen Jahr (1900)</v>
      </c>
      <c r="L3" s="169" t="s">
        <v>245</v>
      </c>
    </row>
    <row r="4" spans="1:12" ht="19.5" customHeight="1" x14ac:dyDescent="0.2">
      <c r="A4" s="167" t="str">
        <f>'Basisdaten Gemeinde'!C4</f>
        <v>Gemeindename</v>
      </c>
      <c r="B4" s="168" t="str">
        <f>'Basisdaten Gemeinde'!C5</f>
        <v>0000</v>
      </c>
      <c r="C4" s="167" t="str">
        <f>Eingabe!D6</f>
        <v>756.0000.0000.00</v>
      </c>
      <c r="D4" s="167" t="str">
        <f>Eingabe!D5&amp;" / "&amp;Eingabe!C5</f>
        <v>Vorname / Name</v>
      </c>
      <c r="E4" s="9">
        <f>Eingabe!D42</f>
        <v>0</v>
      </c>
      <c r="F4" s="9">
        <f>Eingabe!E42</f>
        <v>0</v>
      </c>
      <c r="G4" s="171">
        <f>SUM(Berechnungen!C4:C6)</f>
        <v>0</v>
      </c>
      <c r="H4" s="171" t="str">
        <f>IF(Eingabe!D20="","",TEXT(Eingabe!D20,"T.M.JJ"))&amp;IF(Eingabe!D21="","",Grundeinstellungen!$B$46&amp;TEXT(Eingabe!D21,"T.M.JJ"))&amp;IF(Eingabe!D22="","",Grundeinstellungen!$B$46&amp;TEXT(Eingabe!D22,"T.M.JJ"))&amp;IF(Eingabe!D23="","",Grundeinstellungen!$B$46&amp;TEXT(Eingabe!D23,"T.M.JJ"))&amp;IF(Eingabe!D24="","",Grundeinstellungen!$B$46&amp;TEXT(Eingabe!D24,"T.M.JJ"))&amp;IF(Eingabe!D25="","",Grundeinstellungen!$B$46&amp;TEXT(Eingabe!D25,"T.M.JJ"))&amp;IF(Eingabe!D26="","",Grundeinstellungen!$B$46&amp;TEXT(Eingabe!D26,"T.M.JJ"))&amp;IF(Eingabe!D27="","",Grundeinstellungen!$B$46&amp;TEXT(Eingabe!D27,"T.M.JJ"))&amp;IF(Eingabe!D28="","",Grundeinstellungen!$B$46&amp;TEXT(Eingabe!D28,"T.M.JJ"))&amp;IF(Eingabe!D29="","",Grundeinstellungen!$B$46&amp;TEXT(Eingabe!D29,"T.M.JJ"))&amp;IF(Eingabe!D30="","",Grundeinstellungen!$B$46&amp;TEXT(Eingabe!D30,"T.M.JJ"))&amp;IF(Eingabe!D31="","",Grundeinstellungen!$B$46&amp;TEXT(Eingabe!D31,"T.M.JJ"))</f>
        <v/>
      </c>
      <c r="I4" s="171">
        <f>COUNTIF(Eingabe!F20:F31,"Ja")</f>
        <v>0</v>
      </c>
      <c r="J4" s="172">
        <f>Eingabe!D40</f>
        <v>0</v>
      </c>
      <c r="K4" s="171">
        <f>IFERROR(IF(Eingabe!D11="",MONTH(Eingabe!D10)+1-IF(Eingabe!D15="",MONTH(Eingabe!D14),MONTH(Eingabe!D15)),MONTH(Eingabe!D11)+1-IF(Eingabe!D15="",MONTH(Eingabe!D14),MONTH(Eingabe!D15))),0)</f>
        <v>0</v>
      </c>
      <c r="L4" s="170">
        <f>K4*Eingabe!E96</f>
        <v>0</v>
      </c>
    </row>
  </sheetData>
  <sheetProtection sheet="1" objects="1" scenarios="1"/>
  <pageMargins left="0.98425196850393704" right="0.59055118110236227" top="0.78740157480314965" bottom="0.78740157480314965" header="0.31496062992125984" footer="0.31496062992125984"/>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B116"/>
  <sheetViews>
    <sheetView showGridLines="0" zoomScaleNormal="100" workbookViewId="0">
      <selection activeCell="H87" sqref="H87"/>
    </sheetView>
  </sheetViews>
  <sheetFormatPr baseColWidth="10" defaultColWidth="11" defaultRowHeight="20.25" x14ac:dyDescent="0.2"/>
  <cols>
    <col min="1" max="1" width="3.75" style="23" customWidth="1"/>
    <col min="2" max="6" width="20.125" style="23" customWidth="1"/>
    <col min="7" max="7" width="6.25" style="23" customWidth="1"/>
    <col min="8" max="8" width="11.375" style="23" customWidth="1"/>
    <col min="9" max="10" width="17.125" style="23" customWidth="1"/>
    <col min="11" max="27" width="11" style="23"/>
    <col min="28" max="28" width="11" style="24"/>
    <col min="29" max="16384" width="11" style="23"/>
  </cols>
  <sheetData>
    <row r="1" spans="2:5" ht="22.5" customHeight="1" x14ac:dyDescent="0.2"/>
    <row r="2" spans="2:5" x14ac:dyDescent="0.2">
      <c r="B2" s="22" t="s">
        <v>181</v>
      </c>
    </row>
    <row r="4" spans="2:5" x14ac:dyDescent="0.2">
      <c r="B4" s="23" t="s">
        <v>44</v>
      </c>
      <c r="C4" s="182" t="s">
        <v>77</v>
      </c>
      <c r="D4" s="182"/>
      <c r="E4" s="182"/>
    </row>
    <row r="5" spans="2:5" x14ac:dyDescent="0.2">
      <c r="B5" s="23" t="s">
        <v>219</v>
      </c>
      <c r="C5" s="161" t="s">
        <v>220</v>
      </c>
    </row>
    <row r="7" spans="2:5" x14ac:dyDescent="0.2">
      <c r="B7" s="23" t="s">
        <v>109</v>
      </c>
      <c r="D7" s="25" t="s">
        <v>111</v>
      </c>
    </row>
    <row r="10" spans="2:5" x14ac:dyDescent="0.2">
      <c r="B10" s="26" t="s">
        <v>63</v>
      </c>
    </row>
    <row r="11" spans="2:5" x14ac:dyDescent="0.2">
      <c r="B11" s="23" t="s">
        <v>83</v>
      </c>
      <c r="D11" s="25" t="s">
        <v>13</v>
      </c>
    </row>
    <row r="14" spans="2:5" x14ac:dyDescent="0.2">
      <c r="B14" s="26" t="s">
        <v>40</v>
      </c>
    </row>
    <row r="15" spans="2:5" x14ac:dyDescent="0.2">
      <c r="B15" s="26"/>
    </row>
    <row r="16" spans="2:5" x14ac:dyDescent="0.2">
      <c r="B16" s="23" t="s">
        <v>149</v>
      </c>
      <c r="E16" s="49">
        <v>1</v>
      </c>
    </row>
    <row r="17" spans="2:6" ht="14.25" customHeight="1" x14ac:dyDescent="0.2">
      <c r="B17" s="23" t="s">
        <v>150</v>
      </c>
    </row>
    <row r="19" spans="2:6" x14ac:dyDescent="0.2">
      <c r="B19" s="23" t="s">
        <v>151</v>
      </c>
      <c r="E19" s="49">
        <v>1.3</v>
      </c>
    </row>
    <row r="20" spans="2:6" ht="14.25" customHeight="1" x14ac:dyDescent="0.2">
      <c r="B20" s="23" t="s">
        <v>152</v>
      </c>
    </row>
    <row r="22" spans="2:6" x14ac:dyDescent="0.2">
      <c r="B22" s="27" t="s">
        <v>27</v>
      </c>
      <c r="C22" s="132" t="s">
        <v>84</v>
      </c>
      <c r="D22" s="133" t="str">
        <f>"Grundb./Jahr ("&amp;E16*100&amp;"%)"</f>
        <v>Grundb./Jahr (100%)</v>
      </c>
      <c r="E22" s="134" t="str">
        <f>"Grundb./Jahr ("&amp;E19*100&amp;"%)"</f>
        <v>Grundb./Jahr (130%)</v>
      </c>
      <c r="F22" s="134" t="s">
        <v>163</v>
      </c>
    </row>
    <row r="23" spans="2:6" x14ac:dyDescent="0.2">
      <c r="B23" s="28">
        <v>1</v>
      </c>
      <c r="C23" s="29">
        <v>1031</v>
      </c>
      <c r="D23" s="30">
        <f t="shared" ref="D23:D32" si="0">C23*12*$E$16</f>
        <v>12372</v>
      </c>
      <c r="E23" s="30">
        <f t="shared" ref="E23:E32" si="1">C23*$E$19*12</f>
        <v>16083.599999999999</v>
      </c>
      <c r="F23" s="30">
        <f>C23*1.3*12</f>
        <v>16083.599999999999</v>
      </c>
    </row>
    <row r="24" spans="2:6" x14ac:dyDescent="0.2">
      <c r="B24" s="28">
        <v>2</v>
      </c>
      <c r="C24" s="29">
        <v>1577</v>
      </c>
      <c r="D24" s="30">
        <f t="shared" si="0"/>
        <v>18924</v>
      </c>
      <c r="E24" s="30">
        <f t="shared" si="1"/>
        <v>24601.199999999997</v>
      </c>
      <c r="F24" s="30">
        <f t="shared" ref="F24:F32" si="2">C24*1.3*12</f>
        <v>24601.199999999997</v>
      </c>
    </row>
    <row r="25" spans="2:6" x14ac:dyDescent="0.2">
      <c r="B25" s="28">
        <v>3</v>
      </c>
      <c r="C25" s="29">
        <v>1918</v>
      </c>
      <c r="D25" s="30">
        <f t="shared" si="0"/>
        <v>23016</v>
      </c>
      <c r="E25" s="30">
        <f t="shared" si="1"/>
        <v>29920.800000000003</v>
      </c>
      <c r="F25" s="30">
        <f t="shared" si="2"/>
        <v>29920.800000000003</v>
      </c>
    </row>
    <row r="26" spans="2:6" x14ac:dyDescent="0.2">
      <c r="B26" s="28">
        <v>4</v>
      </c>
      <c r="C26" s="29">
        <v>2206</v>
      </c>
      <c r="D26" s="30">
        <f t="shared" si="0"/>
        <v>26472</v>
      </c>
      <c r="E26" s="30">
        <f t="shared" si="1"/>
        <v>34413.600000000006</v>
      </c>
      <c r="F26" s="30">
        <f t="shared" si="2"/>
        <v>34413.600000000006</v>
      </c>
    </row>
    <row r="27" spans="2:6" x14ac:dyDescent="0.2">
      <c r="B27" s="28">
        <v>5</v>
      </c>
      <c r="C27" s="29">
        <v>2495</v>
      </c>
      <c r="D27" s="30">
        <f t="shared" si="0"/>
        <v>29940</v>
      </c>
      <c r="E27" s="30">
        <f t="shared" si="1"/>
        <v>38922</v>
      </c>
      <c r="F27" s="30">
        <f t="shared" si="2"/>
        <v>38922</v>
      </c>
    </row>
    <row r="28" spans="2:6" x14ac:dyDescent="0.2">
      <c r="B28" s="28">
        <v>6</v>
      </c>
      <c r="C28" s="29">
        <f>C27+209</f>
        <v>2704</v>
      </c>
      <c r="D28" s="30">
        <f t="shared" si="0"/>
        <v>32448</v>
      </c>
      <c r="E28" s="30">
        <f t="shared" si="1"/>
        <v>42182.400000000001</v>
      </c>
      <c r="F28" s="30">
        <f t="shared" si="2"/>
        <v>42182.400000000001</v>
      </c>
    </row>
    <row r="29" spans="2:6" x14ac:dyDescent="0.2">
      <c r="B29" s="28">
        <v>7</v>
      </c>
      <c r="C29" s="29">
        <f t="shared" ref="C29:C32" si="3">C28+209</f>
        <v>2913</v>
      </c>
      <c r="D29" s="30">
        <f t="shared" si="0"/>
        <v>34956</v>
      </c>
      <c r="E29" s="30">
        <f t="shared" si="1"/>
        <v>45442.8</v>
      </c>
      <c r="F29" s="30">
        <f t="shared" si="2"/>
        <v>45442.8</v>
      </c>
    </row>
    <row r="30" spans="2:6" x14ac:dyDescent="0.2">
      <c r="B30" s="28">
        <v>8</v>
      </c>
      <c r="C30" s="29">
        <f t="shared" si="3"/>
        <v>3122</v>
      </c>
      <c r="D30" s="30">
        <f t="shared" si="0"/>
        <v>37464</v>
      </c>
      <c r="E30" s="30">
        <f t="shared" si="1"/>
        <v>48703.200000000004</v>
      </c>
      <c r="F30" s="30">
        <f t="shared" si="2"/>
        <v>48703.200000000004</v>
      </c>
    </row>
    <row r="31" spans="2:6" x14ac:dyDescent="0.2">
      <c r="B31" s="28">
        <v>9</v>
      </c>
      <c r="C31" s="29">
        <f t="shared" si="3"/>
        <v>3331</v>
      </c>
      <c r="D31" s="30">
        <f t="shared" si="0"/>
        <v>39972</v>
      </c>
      <c r="E31" s="30">
        <f t="shared" si="1"/>
        <v>51963.600000000006</v>
      </c>
      <c r="F31" s="30">
        <f t="shared" si="2"/>
        <v>51963.600000000006</v>
      </c>
    </row>
    <row r="32" spans="2:6" x14ac:dyDescent="0.2">
      <c r="B32" s="28">
        <v>10</v>
      </c>
      <c r="C32" s="29">
        <f t="shared" si="3"/>
        <v>3540</v>
      </c>
      <c r="D32" s="30">
        <f t="shared" si="0"/>
        <v>42480</v>
      </c>
      <c r="E32" s="30">
        <f t="shared" si="1"/>
        <v>55224</v>
      </c>
      <c r="F32" s="30">
        <f t="shared" si="2"/>
        <v>55224</v>
      </c>
    </row>
    <row r="35" spans="2:4" ht="26.25" customHeight="1" x14ac:dyDescent="0.2">
      <c r="B35" s="6" t="s">
        <v>64</v>
      </c>
      <c r="D35" s="31"/>
    </row>
    <row r="36" spans="2:4" x14ac:dyDescent="0.2">
      <c r="B36" s="26"/>
      <c r="D36" s="31"/>
    </row>
    <row r="37" spans="2:4" x14ac:dyDescent="0.2">
      <c r="B37" s="23" t="s">
        <v>182</v>
      </c>
      <c r="C37" s="32">
        <v>5</v>
      </c>
      <c r="D37" s="97"/>
    </row>
    <row r="39" spans="2:4" x14ac:dyDescent="0.2">
      <c r="B39" s="27" t="s">
        <v>27</v>
      </c>
      <c r="C39" s="27" t="s">
        <v>28</v>
      </c>
      <c r="D39" s="27" t="s">
        <v>31</v>
      </c>
    </row>
    <row r="40" spans="2:4" x14ac:dyDescent="0.2">
      <c r="B40" s="28">
        <v>1</v>
      </c>
      <c r="C40" s="33">
        <v>2200</v>
      </c>
      <c r="D40" s="34">
        <f t="shared" ref="D40:D49" si="4">C40*$C$37</f>
        <v>11000</v>
      </c>
    </row>
    <row r="41" spans="2:4" x14ac:dyDescent="0.2">
      <c r="B41" s="28">
        <v>2</v>
      </c>
      <c r="C41" s="33">
        <v>3400</v>
      </c>
      <c r="D41" s="34">
        <f t="shared" si="4"/>
        <v>17000</v>
      </c>
    </row>
    <row r="42" spans="2:4" x14ac:dyDescent="0.2">
      <c r="B42" s="28">
        <v>3</v>
      </c>
      <c r="C42" s="33">
        <v>4200</v>
      </c>
      <c r="D42" s="34">
        <f t="shared" si="4"/>
        <v>21000</v>
      </c>
    </row>
    <row r="43" spans="2:4" x14ac:dyDescent="0.2">
      <c r="B43" s="28">
        <v>4</v>
      </c>
      <c r="C43" s="33">
        <v>4700</v>
      </c>
      <c r="D43" s="34">
        <f t="shared" si="4"/>
        <v>23500</v>
      </c>
    </row>
    <row r="44" spans="2:4" x14ac:dyDescent="0.2">
      <c r="B44" s="28">
        <v>5</v>
      </c>
      <c r="C44" s="33">
        <v>5300</v>
      </c>
      <c r="D44" s="34">
        <f t="shared" si="4"/>
        <v>26500</v>
      </c>
    </row>
    <row r="45" spans="2:4" x14ac:dyDescent="0.2">
      <c r="B45" s="28">
        <v>6</v>
      </c>
      <c r="C45" s="33">
        <v>5300</v>
      </c>
      <c r="D45" s="34">
        <f t="shared" si="4"/>
        <v>26500</v>
      </c>
    </row>
    <row r="46" spans="2:4" x14ac:dyDescent="0.2">
      <c r="B46" s="28">
        <v>7</v>
      </c>
      <c r="C46" s="33">
        <v>5300</v>
      </c>
      <c r="D46" s="34">
        <f t="shared" si="4"/>
        <v>26500</v>
      </c>
    </row>
    <row r="47" spans="2:4" x14ac:dyDescent="0.2">
      <c r="B47" s="28">
        <v>8</v>
      </c>
      <c r="C47" s="33">
        <v>5300</v>
      </c>
      <c r="D47" s="34">
        <f t="shared" si="4"/>
        <v>26500</v>
      </c>
    </row>
    <row r="48" spans="2:4" x14ac:dyDescent="0.2">
      <c r="B48" s="28">
        <v>9</v>
      </c>
      <c r="C48" s="33">
        <v>5300</v>
      </c>
      <c r="D48" s="34">
        <f t="shared" si="4"/>
        <v>26500</v>
      </c>
    </row>
    <row r="49" spans="2:7" x14ac:dyDescent="0.2">
      <c r="B49" s="28">
        <v>10</v>
      </c>
      <c r="C49" s="33">
        <v>5300</v>
      </c>
      <c r="D49" s="34">
        <f t="shared" si="4"/>
        <v>26500</v>
      </c>
    </row>
    <row r="52" spans="2:7" ht="26.25" customHeight="1" x14ac:dyDescent="0.2">
      <c r="B52" s="6" t="s">
        <v>34</v>
      </c>
    </row>
    <row r="53" spans="2:7" x14ac:dyDescent="0.2">
      <c r="B53" s="23" t="s">
        <v>75</v>
      </c>
      <c r="C53" s="35">
        <v>2023</v>
      </c>
      <c r="D53" s="36" t="str">
        <f ca="1">IF(Eingabe!D14="",IF(C53=YEAR(TODAY()),"",Grundeinstellungen!B41),IF(C53=YEAR(Eingabe!$D$14),"",Grundeinstellungen!B41))</f>
        <v>Gültigkeit der Werte nicht passend zum Anspruchszeitraum.</v>
      </c>
    </row>
    <row r="54" spans="2:7" x14ac:dyDescent="0.2">
      <c r="D54" s="36"/>
    </row>
    <row r="55" spans="2:7" x14ac:dyDescent="0.2">
      <c r="B55" s="20"/>
      <c r="C55" s="37"/>
      <c r="D55" s="27" t="str">
        <f>Grundeinstellungen!B30</f>
        <v>Region 1</v>
      </c>
      <c r="E55" s="27" t="str">
        <f>Grundeinstellungen!B31</f>
        <v>Region 2</v>
      </c>
    </row>
    <row r="56" spans="2:7" x14ac:dyDescent="0.2">
      <c r="B56" s="9">
        <v>0</v>
      </c>
      <c r="C56" s="37" t="s">
        <v>115</v>
      </c>
      <c r="D56" s="33">
        <v>6960</v>
      </c>
      <c r="E56" s="33">
        <v>6432</v>
      </c>
    </row>
    <row r="57" spans="2:7" x14ac:dyDescent="0.2">
      <c r="B57" s="9">
        <v>1</v>
      </c>
      <c r="C57" s="37" t="s">
        <v>114</v>
      </c>
      <c r="D57" s="33">
        <v>5136</v>
      </c>
      <c r="E57" s="33">
        <v>4692</v>
      </c>
      <c r="F57" s="38"/>
      <c r="G57" s="38"/>
    </row>
    <row r="58" spans="2:7" x14ac:dyDescent="0.2">
      <c r="B58" s="9">
        <v>2</v>
      </c>
      <c r="C58" s="37" t="s">
        <v>113</v>
      </c>
      <c r="D58" s="33">
        <v>1668</v>
      </c>
      <c r="E58" s="33">
        <v>1500</v>
      </c>
    </row>
    <row r="61" spans="2:7" ht="26.25" customHeight="1" x14ac:dyDescent="0.2">
      <c r="B61" s="6" t="s">
        <v>159</v>
      </c>
    </row>
    <row r="62" spans="2:7" x14ac:dyDescent="0.2">
      <c r="B62" s="23" t="s">
        <v>75</v>
      </c>
      <c r="C62" s="35">
        <v>2023</v>
      </c>
      <c r="D62" s="36" t="str">
        <f ca="1">IF(Eingabe!D14="",IF(C62=YEAR(TODAY()),"",Grundeinstellungen!B41),IF(C62=YEAR(Eingabe!$D$14),"",Grundeinstellungen!B41))</f>
        <v>Gültigkeit der Werte nicht passend zum Anspruchszeitraum.</v>
      </c>
    </row>
    <row r="64" spans="2:7" x14ac:dyDescent="0.2">
      <c r="B64" s="131" t="s">
        <v>30</v>
      </c>
      <c r="C64" s="39">
        <v>1</v>
      </c>
    </row>
    <row r="66" spans="2:5" x14ac:dyDescent="0.2">
      <c r="B66" s="23" t="s">
        <v>42</v>
      </c>
      <c r="C66" s="39">
        <v>0.2</v>
      </c>
    </row>
    <row r="68" spans="2:5" x14ac:dyDescent="0.2">
      <c r="B68" s="40" t="s">
        <v>27</v>
      </c>
      <c r="C68" s="129" t="s">
        <v>158</v>
      </c>
      <c r="D68" s="130" t="s">
        <v>144</v>
      </c>
      <c r="E68" s="130" t="s">
        <v>143</v>
      </c>
    </row>
    <row r="69" spans="2:5" x14ac:dyDescent="0.2">
      <c r="B69" s="28">
        <v>1</v>
      </c>
      <c r="C69" s="29">
        <v>1000</v>
      </c>
      <c r="D69" s="30">
        <f>C69*12*$C$64</f>
        <v>12000</v>
      </c>
      <c r="E69" s="30">
        <f t="shared" ref="E69:E78" si="5">C69*12*$C$64*(1+$C$66)</f>
        <v>14400</v>
      </c>
    </row>
    <row r="70" spans="2:5" x14ac:dyDescent="0.2">
      <c r="B70" s="28">
        <v>2</v>
      </c>
      <c r="C70" s="29">
        <v>1150</v>
      </c>
      <c r="D70" s="30">
        <f t="shared" ref="D70:D78" si="6">C70*12*$C$64</f>
        <v>13800</v>
      </c>
      <c r="E70" s="30">
        <f t="shared" si="5"/>
        <v>16560</v>
      </c>
    </row>
    <row r="71" spans="2:5" x14ac:dyDescent="0.2">
      <c r="B71" s="28">
        <v>3</v>
      </c>
      <c r="C71" s="29">
        <v>1300</v>
      </c>
      <c r="D71" s="30">
        <f t="shared" si="6"/>
        <v>15600</v>
      </c>
      <c r="E71" s="30">
        <f t="shared" si="5"/>
        <v>18720</v>
      </c>
    </row>
    <row r="72" spans="2:5" x14ac:dyDescent="0.2">
      <c r="B72" s="28">
        <v>4</v>
      </c>
      <c r="C72" s="29">
        <v>1500</v>
      </c>
      <c r="D72" s="30">
        <f t="shared" si="6"/>
        <v>18000</v>
      </c>
      <c r="E72" s="30">
        <f t="shared" si="5"/>
        <v>21600</v>
      </c>
    </row>
    <row r="73" spans="2:5" x14ac:dyDescent="0.2">
      <c r="B73" s="28">
        <v>5</v>
      </c>
      <c r="C73" s="29">
        <v>1700</v>
      </c>
      <c r="D73" s="30">
        <f t="shared" si="6"/>
        <v>20400</v>
      </c>
      <c r="E73" s="30">
        <f t="shared" si="5"/>
        <v>24480</v>
      </c>
    </row>
    <row r="74" spans="2:5" x14ac:dyDescent="0.2">
      <c r="B74" s="28">
        <v>6</v>
      </c>
      <c r="C74" s="29">
        <v>1900</v>
      </c>
      <c r="D74" s="30">
        <f t="shared" si="6"/>
        <v>22800</v>
      </c>
      <c r="E74" s="30">
        <f t="shared" si="5"/>
        <v>27360</v>
      </c>
    </row>
    <row r="75" spans="2:5" x14ac:dyDescent="0.2">
      <c r="B75" s="28">
        <v>7</v>
      </c>
      <c r="C75" s="29">
        <v>2000</v>
      </c>
      <c r="D75" s="30">
        <f t="shared" si="6"/>
        <v>24000</v>
      </c>
      <c r="E75" s="30">
        <f t="shared" si="5"/>
        <v>28800</v>
      </c>
    </row>
    <row r="76" spans="2:5" x14ac:dyDescent="0.2">
      <c r="B76" s="28">
        <v>8</v>
      </c>
      <c r="C76" s="29">
        <v>2100</v>
      </c>
      <c r="D76" s="30">
        <f t="shared" si="6"/>
        <v>25200</v>
      </c>
      <c r="E76" s="30">
        <f t="shared" si="5"/>
        <v>30240</v>
      </c>
    </row>
    <row r="77" spans="2:5" x14ac:dyDescent="0.2">
      <c r="B77" s="28">
        <v>9</v>
      </c>
      <c r="C77" s="29">
        <v>2200</v>
      </c>
      <c r="D77" s="30">
        <f t="shared" si="6"/>
        <v>26400</v>
      </c>
      <c r="E77" s="30">
        <f t="shared" si="5"/>
        <v>31680</v>
      </c>
    </row>
    <row r="78" spans="2:5" x14ac:dyDescent="0.2">
      <c r="B78" s="28">
        <v>10</v>
      </c>
      <c r="C78" s="29">
        <v>2300</v>
      </c>
      <c r="D78" s="30">
        <f t="shared" si="6"/>
        <v>27600</v>
      </c>
      <c r="E78" s="30">
        <f t="shared" si="5"/>
        <v>33120</v>
      </c>
    </row>
    <row r="81" spans="2:5" ht="26.25" customHeight="1" x14ac:dyDescent="0.2">
      <c r="B81" s="6" t="s">
        <v>74</v>
      </c>
    </row>
    <row r="82" spans="2:5" ht="30" x14ac:dyDescent="0.2">
      <c r="B82" s="41" t="s">
        <v>101</v>
      </c>
      <c r="C82" s="42"/>
      <c r="D82" s="43" t="str">
        <f>Grundeinstellungen!B19</f>
        <v>gemeinsame/geteilte Obhut</v>
      </c>
      <c r="E82" s="43" t="str">
        <f>Grundeinstellungen!B20</f>
        <v>alleinige Obhut</v>
      </c>
    </row>
    <row r="83" spans="2:5" x14ac:dyDescent="0.2">
      <c r="B83" s="44" t="s">
        <v>103</v>
      </c>
      <c r="C83" s="45"/>
      <c r="D83" s="46">
        <v>1</v>
      </c>
      <c r="E83" s="46">
        <v>0</v>
      </c>
    </row>
    <row r="84" spans="2:5" x14ac:dyDescent="0.2">
      <c r="B84" s="44" t="s">
        <v>104</v>
      </c>
      <c r="C84" s="45"/>
      <c r="D84" s="46">
        <v>1.5</v>
      </c>
      <c r="E84" s="46">
        <v>0.5</v>
      </c>
    </row>
    <row r="85" spans="2:5" x14ac:dyDescent="0.2">
      <c r="B85" s="44" t="s">
        <v>105</v>
      </c>
      <c r="C85" s="45"/>
      <c r="D85" s="46">
        <v>1.8</v>
      </c>
      <c r="E85" s="46">
        <v>0.8</v>
      </c>
    </row>
    <row r="86" spans="2:5" x14ac:dyDescent="0.2">
      <c r="B86" s="44" t="s">
        <v>106</v>
      </c>
      <c r="C86" s="45"/>
      <c r="D86" s="46">
        <v>2</v>
      </c>
      <c r="E86" s="46">
        <v>1</v>
      </c>
    </row>
    <row r="89" spans="2:5" x14ac:dyDescent="0.2">
      <c r="B89" s="6" t="s">
        <v>72</v>
      </c>
    </row>
    <row r="90" spans="2:5" x14ac:dyDescent="0.2">
      <c r="B90" s="23" t="s">
        <v>160</v>
      </c>
    </row>
    <row r="91" spans="2:5" x14ac:dyDescent="0.2">
      <c r="B91" s="23" t="s">
        <v>122</v>
      </c>
    </row>
    <row r="93" spans="2:5" x14ac:dyDescent="0.2">
      <c r="B93" s="23" t="s">
        <v>76</v>
      </c>
      <c r="E93" s="47">
        <v>0.75</v>
      </c>
    </row>
    <row r="97" spans="2:2" x14ac:dyDescent="0.3">
      <c r="B97" s="1"/>
    </row>
    <row r="98" spans="2:2" ht="15" customHeight="1" x14ac:dyDescent="0.2">
      <c r="B98"/>
    </row>
    <row r="99" spans="2:2" ht="15" customHeight="1" x14ac:dyDescent="0.2">
      <c r="B99"/>
    </row>
    <row r="100" spans="2:2" ht="15" customHeight="1" x14ac:dyDescent="0.2">
      <c r="B100"/>
    </row>
    <row r="101" spans="2:2" ht="15" customHeight="1" x14ac:dyDescent="0.25">
      <c r="B101" s="116"/>
    </row>
    <row r="102" spans="2:2" ht="15" customHeight="1" x14ac:dyDescent="0.2">
      <c r="B102" s="3"/>
    </row>
    <row r="103" spans="2:2" ht="15" customHeight="1" x14ac:dyDescent="0.2">
      <c r="B103" s="3"/>
    </row>
    <row r="104" spans="2:2" ht="15" customHeight="1" x14ac:dyDescent="0.2">
      <c r="B104" s="3"/>
    </row>
    <row r="105" spans="2:2" ht="15" customHeight="1" x14ac:dyDescent="0.2">
      <c r="B105" s="3"/>
    </row>
    <row r="106" spans="2:2" ht="15" customHeight="1" x14ac:dyDescent="0.2">
      <c r="B106" s="3"/>
    </row>
    <row r="107" spans="2:2" ht="15" customHeight="1" x14ac:dyDescent="0.2">
      <c r="B107"/>
    </row>
    <row r="108" spans="2:2" ht="15" customHeight="1" x14ac:dyDescent="0.2">
      <c r="B108"/>
    </row>
    <row r="109" spans="2:2" ht="15" customHeight="1" x14ac:dyDescent="0.2">
      <c r="B109"/>
    </row>
    <row r="110" spans="2:2" ht="15" customHeight="1" x14ac:dyDescent="0.2">
      <c r="B110"/>
    </row>
    <row r="111" spans="2:2" ht="15" customHeight="1" x14ac:dyDescent="0.25">
      <c r="B111" s="116"/>
    </row>
    <row r="112" spans="2:2" ht="15" customHeight="1" x14ac:dyDescent="0.2">
      <c r="B112" s="3"/>
    </row>
    <row r="113" spans="2:2" ht="15" customHeight="1" x14ac:dyDescent="0.2">
      <c r="B113" s="3"/>
    </row>
    <row r="114" spans="2:2" ht="15" customHeight="1" x14ac:dyDescent="0.2">
      <c r="B114" s="3"/>
    </row>
    <row r="115" spans="2:2" ht="15" customHeight="1" x14ac:dyDescent="0.2">
      <c r="B115" s="117"/>
    </row>
    <row r="116" spans="2:2" x14ac:dyDescent="0.2">
      <c r="B116"/>
    </row>
  </sheetData>
  <sheetProtection sheet="1" objects="1" scenarios="1"/>
  <mergeCells count="1">
    <mergeCell ref="C4:E4"/>
  </mergeCells>
  <dataValidations count="1">
    <dataValidation type="list" allowBlank="1" showInputMessage="1" showErrorMessage="1" sqref="D11" xr:uid="{00000000-0002-0000-0300-000000000000}">
      <formula1>"Ja,Nein"</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Grundeinstellungen!$B$30:$B$31</xm:f>
          </x14:formula1>
          <xm:sqref>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C40"/>
  <sheetViews>
    <sheetView showGridLines="0" tabSelected="1" workbookViewId="0">
      <selection activeCell="O17" sqref="O17"/>
    </sheetView>
  </sheetViews>
  <sheetFormatPr baseColWidth="10" defaultRowHeight="14.25" x14ac:dyDescent="0.2"/>
  <cols>
    <col min="1" max="1" width="3.75" customWidth="1"/>
    <col min="2" max="2" width="3.375" customWidth="1"/>
  </cols>
  <sheetData>
    <row r="1" spans="2:3" ht="22.5" customHeight="1" x14ac:dyDescent="0.2"/>
    <row r="2" spans="2:3" ht="19.5" x14ac:dyDescent="0.3">
      <c r="B2" s="1" t="s">
        <v>165</v>
      </c>
    </row>
    <row r="3" spans="2:3" ht="19.5" x14ac:dyDescent="0.3">
      <c r="B3" s="1" t="s">
        <v>164</v>
      </c>
    </row>
    <row r="4" spans="2:3" ht="18" customHeight="1" x14ac:dyDescent="0.2"/>
    <row r="5" spans="2:3" ht="18" customHeight="1" x14ac:dyDescent="0.2">
      <c r="B5" t="s">
        <v>177</v>
      </c>
    </row>
    <row r="6" spans="2:3" ht="18" customHeight="1" x14ac:dyDescent="0.2"/>
    <row r="7" spans="2:3" ht="18" customHeight="1" x14ac:dyDescent="0.2">
      <c r="B7" t="s">
        <v>166</v>
      </c>
    </row>
    <row r="8" spans="2:3" ht="18" customHeight="1" x14ac:dyDescent="0.2"/>
    <row r="9" spans="2:3" ht="18" customHeight="1" x14ac:dyDescent="0.2">
      <c r="B9" s="141" t="s">
        <v>167</v>
      </c>
      <c r="C9" t="s">
        <v>178</v>
      </c>
    </row>
    <row r="10" spans="2:3" ht="18" customHeight="1" x14ac:dyDescent="0.2">
      <c r="B10" s="141" t="s">
        <v>168</v>
      </c>
      <c r="C10" t="s">
        <v>240</v>
      </c>
    </row>
    <row r="11" spans="2:3" ht="18" customHeight="1" x14ac:dyDescent="0.25">
      <c r="B11" s="141" t="s">
        <v>169</v>
      </c>
      <c r="C11" t="s">
        <v>170</v>
      </c>
    </row>
    <row r="12" spans="2:3" ht="18" customHeight="1" x14ac:dyDescent="0.2">
      <c r="C12" t="s">
        <v>171</v>
      </c>
    </row>
    <row r="13" spans="2:3" ht="18" customHeight="1" x14ac:dyDescent="0.2">
      <c r="C13" t="s">
        <v>172</v>
      </c>
    </row>
    <row r="14" spans="2:3" ht="18" customHeight="1" x14ac:dyDescent="0.2">
      <c r="B14" s="141" t="s">
        <v>173</v>
      </c>
      <c r="C14" t="s">
        <v>174</v>
      </c>
    </row>
    <row r="15" spans="2:3" ht="18" customHeight="1" x14ac:dyDescent="0.2">
      <c r="C15" t="s">
        <v>175</v>
      </c>
    </row>
    <row r="16" spans="2:3" ht="18" customHeight="1" x14ac:dyDescent="0.2">
      <c r="C16" t="s">
        <v>176</v>
      </c>
    </row>
    <row r="17" spans="2:2" ht="18" customHeight="1" x14ac:dyDescent="0.2"/>
    <row r="18" spans="2:2" ht="18" customHeight="1" x14ac:dyDescent="0.2"/>
    <row r="19" spans="2:2" ht="18" customHeight="1" x14ac:dyDescent="0.2"/>
    <row r="20" spans="2:2" ht="18" customHeight="1" x14ac:dyDescent="0.2"/>
    <row r="21" spans="2:2" ht="18" customHeight="1" x14ac:dyDescent="0.2"/>
    <row r="22" spans="2:2" ht="18" customHeight="1" x14ac:dyDescent="0.3">
      <c r="B22" s="1" t="s">
        <v>50</v>
      </c>
    </row>
    <row r="23" spans="2:2" ht="14.25" customHeight="1" x14ac:dyDescent="0.2"/>
    <row r="24" spans="2:2" ht="14.25" customHeight="1" x14ac:dyDescent="0.2">
      <c r="B24" t="s">
        <v>57</v>
      </c>
    </row>
    <row r="25" spans="2:2" ht="14.25" customHeight="1" x14ac:dyDescent="0.2"/>
    <row r="26" spans="2:2" ht="14.25" customHeight="1" x14ac:dyDescent="0.25">
      <c r="B26" s="116" t="s">
        <v>51</v>
      </c>
    </row>
    <row r="27" spans="2:2" ht="14.25" customHeight="1" x14ac:dyDescent="0.2">
      <c r="B27" s="3" t="s">
        <v>52</v>
      </c>
    </row>
    <row r="28" spans="2:2" ht="14.25" customHeight="1" x14ac:dyDescent="0.2">
      <c r="B28" s="3" t="s">
        <v>53</v>
      </c>
    </row>
    <row r="29" spans="2:2" ht="14.25" customHeight="1" x14ac:dyDescent="0.2">
      <c r="B29" s="3"/>
    </row>
    <row r="30" spans="2:2" ht="14.25" customHeight="1" x14ac:dyDescent="0.2">
      <c r="B30" s="3" t="s">
        <v>54</v>
      </c>
    </row>
    <row r="31" spans="2:2" ht="14.25" customHeight="1" x14ac:dyDescent="0.2">
      <c r="B31" s="3" t="s">
        <v>55</v>
      </c>
    </row>
    <row r="32" spans="2:2" ht="14.25" customHeight="1" x14ac:dyDescent="0.2"/>
    <row r="33" spans="2:2" ht="14.25" customHeight="1" x14ac:dyDescent="0.2"/>
    <row r="34" spans="2:2" ht="14.25" customHeight="1" x14ac:dyDescent="0.2">
      <c r="B34" t="s">
        <v>58</v>
      </c>
    </row>
    <row r="35" spans="2:2" ht="14.25" customHeight="1" x14ac:dyDescent="0.2"/>
    <row r="36" spans="2:2" ht="14.25" customHeight="1" x14ac:dyDescent="0.25">
      <c r="B36" s="116" t="s">
        <v>142</v>
      </c>
    </row>
    <row r="37" spans="2:2" ht="14.25" customHeight="1" x14ac:dyDescent="0.2">
      <c r="B37" s="3" t="s">
        <v>140</v>
      </c>
    </row>
    <row r="38" spans="2:2" ht="14.25" customHeight="1" x14ac:dyDescent="0.2">
      <c r="B38" s="3" t="s">
        <v>141</v>
      </c>
    </row>
    <row r="39" spans="2:2" ht="14.25" customHeight="1" x14ac:dyDescent="0.2">
      <c r="B39" s="3"/>
    </row>
    <row r="40" spans="2:2" ht="14.25" customHeight="1" x14ac:dyDescent="0.2">
      <c r="B40" s="117" t="s">
        <v>56</v>
      </c>
    </row>
  </sheetData>
  <sheetProtection sheet="1" objects="1" scenarios="1"/>
  <hyperlinks>
    <hyperlink ref="B40" r:id="rId1" xr:uid="{00000000-0004-0000-0400-000000000000}"/>
  </hyperlinks>
  <pageMargins left="0.7" right="0.7" top="0.78740157499999996" bottom="0.78740157499999996" header="0.3" footer="0.3"/>
  <pageSetup paperSize="9" scale="79" fitToHeight="0" orientation="portrait" r:id="rId2"/>
  <ignoredErrors>
    <ignoredError sqref="B9 B10:B11 B1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B2:C64"/>
  <sheetViews>
    <sheetView showGridLines="0" topLeftCell="B1" workbookViewId="0">
      <selection activeCell="B51" sqref="B51"/>
    </sheetView>
  </sheetViews>
  <sheetFormatPr baseColWidth="10" defaultRowHeight="14.25" x14ac:dyDescent="0.2"/>
  <cols>
    <col min="1" max="1" width="3.875" customWidth="1"/>
    <col min="2" max="2" width="24.875" customWidth="1"/>
    <col min="3" max="3" width="39.375" customWidth="1"/>
  </cols>
  <sheetData>
    <row r="2" spans="2:3" ht="19.5" x14ac:dyDescent="0.3">
      <c r="B2" s="1" t="s">
        <v>22</v>
      </c>
    </row>
    <row r="4" spans="2:3" ht="15" x14ac:dyDescent="0.25">
      <c r="B4" s="15" t="s">
        <v>226</v>
      </c>
    </row>
    <row r="5" spans="2:3" x14ac:dyDescent="0.2">
      <c r="B5" s="7" t="s">
        <v>227</v>
      </c>
    </row>
    <row r="6" spans="2:3" x14ac:dyDescent="0.2">
      <c r="B6" s="7" t="s">
        <v>228</v>
      </c>
    </row>
    <row r="8" spans="2:3" ht="15" x14ac:dyDescent="0.25">
      <c r="B8" s="15" t="s">
        <v>15</v>
      </c>
      <c r="C8" s="15" t="s">
        <v>20</v>
      </c>
    </row>
    <row r="9" spans="2:3" x14ac:dyDescent="0.2">
      <c r="B9" s="7" t="s">
        <v>16</v>
      </c>
      <c r="C9" s="10" t="s">
        <v>14</v>
      </c>
    </row>
    <row r="10" spans="2:3" x14ac:dyDescent="0.2">
      <c r="B10" s="7" t="s">
        <v>19</v>
      </c>
      <c r="C10" s="10" t="s">
        <v>14</v>
      </c>
    </row>
    <row r="11" spans="2:3" x14ac:dyDescent="0.2">
      <c r="B11" s="7" t="s">
        <v>17</v>
      </c>
      <c r="C11" s="10" t="s">
        <v>14</v>
      </c>
    </row>
    <row r="12" spans="2:3" x14ac:dyDescent="0.2">
      <c r="B12" s="7" t="s">
        <v>60</v>
      </c>
      <c r="C12" s="10" t="s">
        <v>14</v>
      </c>
    </row>
    <row r="13" spans="2:3" x14ac:dyDescent="0.2">
      <c r="B13" s="7" t="s">
        <v>61</v>
      </c>
      <c r="C13" s="10" t="s">
        <v>14</v>
      </c>
    </row>
    <row r="14" spans="2:3" x14ac:dyDescent="0.2">
      <c r="B14" s="7" t="s">
        <v>18</v>
      </c>
      <c r="C14" s="10" t="s">
        <v>13</v>
      </c>
    </row>
    <row r="17" spans="2:3" ht="15" x14ac:dyDescent="0.25">
      <c r="B17" s="2" t="s">
        <v>96</v>
      </c>
    </row>
    <row r="18" spans="2:3" ht="15" x14ac:dyDescent="0.25">
      <c r="B18" s="19"/>
    </row>
    <row r="19" spans="2:3" x14ac:dyDescent="0.2">
      <c r="B19" s="10" t="s">
        <v>97</v>
      </c>
    </row>
    <row r="20" spans="2:3" x14ac:dyDescent="0.2">
      <c r="B20" s="10" t="s">
        <v>98</v>
      </c>
    </row>
    <row r="23" spans="2:3" ht="15" x14ac:dyDescent="0.25">
      <c r="B23" s="2" t="s">
        <v>29</v>
      </c>
    </row>
    <row r="24" spans="2:3" ht="15" x14ac:dyDescent="0.25">
      <c r="B24" s="2"/>
    </row>
    <row r="25" spans="2:3" x14ac:dyDescent="0.2">
      <c r="B25" s="7" t="s">
        <v>21</v>
      </c>
      <c r="C25" s="16">
        <v>2</v>
      </c>
    </row>
    <row r="26" spans="2:3" x14ac:dyDescent="0.2">
      <c r="C26" s="3"/>
    </row>
    <row r="27" spans="2:3" x14ac:dyDescent="0.2">
      <c r="C27" s="3"/>
    </row>
    <row r="28" spans="2:3" ht="15" x14ac:dyDescent="0.25">
      <c r="B28" s="2" t="s">
        <v>110</v>
      </c>
      <c r="C28" s="3"/>
    </row>
    <row r="29" spans="2:3" x14ac:dyDescent="0.2">
      <c r="C29" s="3"/>
    </row>
    <row r="30" spans="2:3" x14ac:dyDescent="0.2">
      <c r="B30" s="10" t="s">
        <v>111</v>
      </c>
      <c r="C30" s="3"/>
    </row>
    <row r="31" spans="2:3" x14ac:dyDescent="0.2">
      <c r="B31" s="10" t="s">
        <v>112</v>
      </c>
      <c r="C31" s="3"/>
    </row>
    <row r="32" spans="2:3" x14ac:dyDescent="0.2">
      <c r="C32" s="3"/>
    </row>
    <row r="34" spans="2:3" ht="15" x14ac:dyDescent="0.25">
      <c r="B34" s="2" t="s">
        <v>24</v>
      </c>
    </row>
    <row r="35" spans="2:3" ht="15" x14ac:dyDescent="0.25">
      <c r="B35" s="2"/>
    </row>
    <row r="36" spans="2:3" ht="16.5" x14ac:dyDescent="0.3">
      <c r="B36" s="17" t="s">
        <v>48</v>
      </c>
      <c r="C36" s="17" t="s">
        <v>183</v>
      </c>
    </row>
    <row r="37" spans="2:3" ht="16.5" x14ac:dyDescent="0.3">
      <c r="B37" s="17" t="s">
        <v>161</v>
      </c>
      <c r="C37" s="17" t="s">
        <v>184</v>
      </c>
    </row>
    <row r="38" spans="2:3" ht="16.5" x14ac:dyDescent="0.3">
      <c r="B38" s="17" t="s">
        <v>162</v>
      </c>
      <c r="C38" s="17" t="s">
        <v>185</v>
      </c>
    </row>
    <row r="39" spans="2:3" x14ac:dyDescent="0.2">
      <c r="B39" s="18" t="s">
        <v>25</v>
      </c>
    </row>
    <row r="40" spans="2:3" x14ac:dyDescent="0.2">
      <c r="B40" s="18" t="s">
        <v>26</v>
      </c>
    </row>
    <row r="41" spans="2:3" x14ac:dyDescent="0.2">
      <c r="B41" s="18" t="s">
        <v>92</v>
      </c>
    </row>
    <row r="42" spans="2:3" x14ac:dyDescent="0.2">
      <c r="B42" s="18" t="s">
        <v>93</v>
      </c>
    </row>
    <row r="45" spans="2:3" x14ac:dyDescent="0.2">
      <c r="B45" s="163" t="s">
        <v>230</v>
      </c>
    </row>
    <row r="46" spans="2:3" ht="19.5" x14ac:dyDescent="0.3">
      <c r="B46" s="1" t="s">
        <v>231</v>
      </c>
    </row>
    <row r="50" spans="2:2" ht="15" x14ac:dyDescent="0.25">
      <c r="B50" s="116"/>
    </row>
    <row r="51" spans="2:2" x14ac:dyDescent="0.2">
      <c r="B51" s="3"/>
    </row>
    <row r="52" spans="2:2" x14ac:dyDescent="0.2">
      <c r="B52" s="3"/>
    </row>
    <row r="53" spans="2:2" x14ac:dyDescent="0.2">
      <c r="B53" s="3"/>
    </row>
    <row r="54" spans="2:2" x14ac:dyDescent="0.2">
      <c r="B54" s="3"/>
    </row>
    <row r="55" spans="2:2" x14ac:dyDescent="0.2">
      <c r="B55" s="3"/>
    </row>
    <row r="60" spans="2:2" x14ac:dyDescent="0.2">
      <c r="B60" s="3"/>
    </row>
    <row r="61" spans="2:2" x14ac:dyDescent="0.2">
      <c r="B61" s="3"/>
    </row>
    <row r="62" spans="2:2" x14ac:dyDescent="0.2">
      <c r="B62" s="3"/>
    </row>
    <row r="63" spans="2:2" x14ac:dyDescent="0.2">
      <c r="B63" s="3"/>
    </row>
    <row r="64" spans="2:2" x14ac:dyDescent="0.2">
      <c r="B64" s="117"/>
    </row>
  </sheetData>
  <sheetProtection sheet="1" objects="1" scenario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B2:E31"/>
  <sheetViews>
    <sheetView showGridLines="0" workbookViewId="0">
      <selection activeCell="B51" sqref="B51"/>
    </sheetView>
  </sheetViews>
  <sheetFormatPr baseColWidth="10" defaultRowHeight="14.25" x14ac:dyDescent="0.2"/>
  <cols>
    <col min="1" max="1" width="3.75" customWidth="1"/>
    <col min="2" max="2" width="49" customWidth="1"/>
  </cols>
  <sheetData>
    <row r="2" spans="2:3" ht="19.5" x14ac:dyDescent="0.3">
      <c r="B2" s="1" t="s">
        <v>23</v>
      </c>
    </row>
    <row r="4" spans="2:3" x14ac:dyDescent="0.2">
      <c r="B4" s="7" t="s">
        <v>116</v>
      </c>
      <c r="C4" s="7">
        <f>COUNTIF(Eingabe!E18:E34,"&gt;25")</f>
        <v>0</v>
      </c>
    </row>
    <row r="5" spans="2:3" x14ac:dyDescent="0.2">
      <c r="B5" s="7" t="s">
        <v>117</v>
      </c>
      <c r="C5" s="21">
        <f>COUNTIF(Eingabe!E18:E34,"&gt;18")-C4</f>
        <v>0</v>
      </c>
    </row>
    <row r="6" spans="2:3" x14ac:dyDescent="0.2">
      <c r="B6" s="7" t="s">
        <v>118</v>
      </c>
      <c r="C6" s="7">
        <f>COUNTIF(Eingabe!E18:E34,"&lt;19")</f>
        <v>0</v>
      </c>
    </row>
    <row r="11" spans="2:3" x14ac:dyDescent="0.2">
      <c r="B11" t="s">
        <v>102</v>
      </c>
      <c r="C11" s="4">
        <f>Eingabe!D35</f>
        <v>0</v>
      </c>
    </row>
    <row r="12" spans="2:3" x14ac:dyDescent="0.2">
      <c r="C12" s="4"/>
    </row>
    <row r="13" spans="2:3" x14ac:dyDescent="0.2">
      <c r="C13" t="s">
        <v>107</v>
      </c>
    </row>
    <row r="14" spans="2:3" x14ac:dyDescent="0.2">
      <c r="B14" s="7" t="str">
        <f>Grundeinstellungen!B19</f>
        <v>gemeinsame/geteilte Obhut</v>
      </c>
      <c r="C14" s="7">
        <v>3</v>
      </c>
    </row>
    <row r="15" spans="2:3" x14ac:dyDescent="0.2">
      <c r="B15" s="7" t="str">
        <f>Grundeinstellungen!B20</f>
        <v>alleinige Obhut</v>
      </c>
      <c r="C15" s="7">
        <v>4</v>
      </c>
    </row>
    <row r="16" spans="2:3" x14ac:dyDescent="0.2">
      <c r="B16" s="7" t="s">
        <v>108</v>
      </c>
      <c r="C16" s="7" t="str">
        <f>IF(B14=Eingabe!D37,Berechnungen!C14,IF(Berechnungen!B15=Eingabe!D37,Berechnungen!C15,""))</f>
        <v/>
      </c>
    </row>
    <row r="18" spans="2:5" ht="15" x14ac:dyDescent="0.25">
      <c r="B18" s="2" t="s">
        <v>36</v>
      </c>
    </row>
    <row r="19" spans="2:5" x14ac:dyDescent="0.2">
      <c r="B19" t="s">
        <v>4</v>
      </c>
      <c r="C19" s="8">
        <f>C4*'Basisdaten Gemeinde'!D56</f>
        <v>0</v>
      </c>
    </row>
    <row r="20" spans="2:5" x14ac:dyDescent="0.2">
      <c r="B20" t="s">
        <v>37</v>
      </c>
      <c r="C20" s="8">
        <f>C5*'Basisdaten Gemeinde'!D57</f>
        <v>0</v>
      </c>
    </row>
    <row r="21" spans="2:5" x14ac:dyDescent="0.2">
      <c r="B21" t="s">
        <v>35</v>
      </c>
      <c r="C21" s="8">
        <f>C6*'Basisdaten Gemeinde'!D58</f>
        <v>0</v>
      </c>
    </row>
    <row r="22" spans="2:5" ht="15" thickBot="1" x14ac:dyDescent="0.25">
      <c r="B22" s="13" t="s">
        <v>7</v>
      </c>
      <c r="C22" s="11">
        <f>SUM(C19:C21)</f>
        <v>0</v>
      </c>
    </row>
    <row r="23" spans="2:5" ht="15" thickTop="1" x14ac:dyDescent="0.2"/>
    <row r="25" spans="2:5" ht="15" x14ac:dyDescent="0.25">
      <c r="B25" s="2" t="s">
        <v>38</v>
      </c>
    </row>
    <row r="26" spans="2:5" x14ac:dyDescent="0.2">
      <c r="B26" t="s">
        <v>39</v>
      </c>
      <c r="C26" s="12">
        <f>IF(SUM(C4:C6)=0,0,VLOOKUP(SUM(C4:C6),'Basisdaten Gemeinde'!B23:F32,4))</f>
        <v>0</v>
      </c>
      <c r="E26" s="135"/>
    </row>
    <row r="27" spans="2:5" x14ac:dyDescent="0.2">
      <c r="B27" t="s">
        <v>41</v>
      </c>
      <c r="C27" s="5" t="str">
        <f>Eingabe!E58</f>
        <v/>
      </c>
    </row>
    <row r="28" spans="2:5" x14ac:dyDescent="0.2">
      <c r="B28" t="s">
        <v>49</v>
      </c>
      <c r="C28" s="5">
        <f>Eingabe!E57</f>
        <v>0</v>
      </c>
    </row>
    <row r="29" spans="2:5" x14ac:dyDescent="0.2">
      <c r="B29" t="s">
        <v>43</v>
      </c>
      <c r="C29" s="5">
        <f>Eingabe!E59</f>
        <v>0</v>
      </c>
    </row>
    <row r="30" spans="2:5" ht="15" thickBot="1" x14ac:dyDescent="0.25">
      <c r="B30" s="13" t="s">
        <v>38</v>
      </c>
      <c r="C30" s="14">
        <f>IFERROR(SUM(C26:C29),0)</f>
        <v>0</v>
      </c>
    </row>
    <row r="31" spans="2:5" ht="15" thickTop="1" x14ac:dyDescent="0.2"/>
  </sheetData>
  <sheetProtection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fe89d6f-6941-4ae8-964d-1d28a701b750" xsi:nil="true"/>
    <lcf76f155ced4ddcb4097134ff3c332f xmlns="2c30f477-c6a4-4c63-85fd-c1ffceb680e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E044C41229C2745B6A3FE15F7783453" ma:contentTypeVersion="18" ma:contentTypeDescription="Ein neues Dokument erstellen." ma:contentTypeScope="" ma:versionID="ec83449b75ce361caff243891059178f">
  <xsd:schema xmlns:xsd="http://www.w3.org/2001/XMLSchema" xmlns:xs="http://www.w3.org/2001/XMLSchema" xmlns:p="http://schemas.microsoft.com/office/2006/metadata/properties" xmlns:ns2="2c30f477-c6a4-4c63-85fd-c1ffceb680e5" xmlns:ns3="cfe89d6f-6941-4ae8-964d-1d28a701b750" targetNamespace="http://schemas.microsoft.com/office/2006/metadata/properties" ma:root="true" ma:fieldsID="719be70dcb5c4bbbf2e104013c026cf6" ns2:_="" ns3:_="">
    <xsd:import namespace="2c30f477-c6a4-4c63-85fd-c1ffceb680e5"/>
    <xsd:import namespace="cfe89d6f-6941-4ae8-964d-1d28a701b7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0f477-c6a4-4c63-85fd-c1ffceb680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b9d7c219-b261-47be-916e-7a9fe89c951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e89d6f-6941-4ae8-964d-1d28a701b750"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fb98a914-b578-465e-a6fd-a654d54814dc}" ma:internalName="TaxCatchAll" ma:showField="CatchAllData" ma:web="cfe89d6f-6941-4ae8-964d-1d28a701b7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O m o 1 V 7 0 E 8 G 6 k A A A A 9 g A A A B I A H A B D b 2 5 m a W c v U G F j a 2 F n Z S 5 4 b W w g o h g A K K A U A A A A A A A A A A A A A A A A A A A A A A A A A A A A h Y + x D o I w F E V / h X S n L X U x 5 F E H F g d J T E y M a 1 O e 0 A j F 0 G L 5 N w c / y V 8 Q o 6 i b 4 z 3 3 D P f e r z d Y j W 0 T X b B 3 p r M Z S S g n E V r d l c Z W G R n 8 M V 6 S l Y S t 0 i d V Y T T J 1 q W j K z N S e 3 9 O G Q s h 0 L C g X V 8 x w X n C D s V m p 2 t s F f n I 5 r 8 c G + u 8 s h q J h P 1 r j B Q 0 E Z w K I S g H N k M o j P 0 K Y t r 7 b H 8 g 5 E P j h x 5 l i X G + B j Z H Y O 8 P 8 g F Q S w M E F A A C A A g A O m o 1 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p q N V c o i k e 4 D g A A A B E A A A A T A B w A R m 9 y b X V s Y X M v U 2 V j d G l v b j E u b S C i G A A o o B Q A A A A A A A A A A A A A A A A A A A A A A A A A A A A r T k 0 u y c z P U w i G 0 I b W A F B L A Q I t A B Q A A g A I A D p q N V e 9 B P B u p A A A A P Y A A A A S A A A A A A A A A A A A A A A A A A A A A A B D b 2 5 m a W c v U G F j a 2 F n Z S 5 4 b W x Q S w E C L Q A U A A I A C A A 6 a j V X D 8 r p q 6 Q A A A D p A A A A E w A A A A A A A A A A A A A A A A D w A A A A W 0 N v b n R l b n R f V H l w Z X N d L n h t b F B L A Q I t A B Q A A g A I A D p q N 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C A D K P b R e J S Y A h f M + 2 B l S X A A A A A A I A A A A A A B B m A A A A A Q A A I A A A A J L W t H m R T S 0 h u r I u B t D K j P R r 9 5 O 4 Y 4 J 1 K H O 4 t M H Q 1 I 6 z A A A A A A 6 A A A A A A g A A I A A A A M d 3 U n j J N z E 0 N i z I t W B E x 4 z q J + 7 7 I x v G v 0 G S z b W r X r f 4 U A A A A F / 2 y 7 / B 6 U g T B K R Y J B j z R P G 9 a b b y e a Y E F b N r u o s 9 B S T p z w 5 G g Y 3 6 4 c u 4 + P U r X w S z X v D 4 K 3 Z D t J p / g 5 q X R 4 9 l r i 0 p L m J O g W o 0 C p 2 u j I c C l A S Z Q A A A A P b 0 B J p Z f M h K l r y Y 2 2 h Z b G I 4 2 Z Y 4 c 6 z y 5 3 R x 9 l V r j D N F Y 1 Q L q c T U b 1 K U e T t m G B 2 H l n F V X X y P K J G F R W q w n / o s K x E = < / D a t a M a s h u p > 
</file>

<file path=customXml/itemProps1.xml><?xml version="1.0" encoding="utf-8"?>
<ds:datastoreItem xmlns:ds="http://schemas.openxmlformats.org/officeDocument/2006/customXml" ds:itemID="{7F9A37C5-3D7A-4DD3-B23A-F45CB37B838D}">
  <ds:schemaRefs>
    <ds:schemaRef ds:uri="http://purl.org/dc/terms/"/>
    <ds:schemaRef ds:uri="http://schemas.openxmlformats.org/package/2006/metadata/core-properties"/>
    <ds:schemaRef ds:uri="c9077d15-72ed-4fec-bcfe-3472729e9195"/>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bc24777f-78b6-4f3c-a73a-d5fa08e4d537"/>
    <ds:schemaRef ds:uri="http://www.w3.org/XML/1998/namespace"/>
  </ds:schemaRefs>
</ds:datastoreItem>
</file>

<file path=customXml/itemProps2.xml><?xml version="1.0" encoding="utf-8"?>
<ds:datastoreItem xmlns:ds="http://schemas.openxmlformats.org/officeDocument/2006/customXml" ds:itemID="{8D6FA26B-CDB9-4D1C-A9A4-C5F717528E48}"/>
</file>

<file path=customXml/itemProps3.xml><?xml version="1.0" encoding="utf-8"?>
<ds:datastoreItem xmlns:ds="http://schemas.openxmlformats.org/officeDocument/2006/customXml" ds:itemID="{3ED21654-8749-4BDD-B9EA-E0D53BBAF9EC}">
  <ds:schemaRefs>
    <ds:schemaRef ds:uri="http://schemas.microsoft.com/sharepoint/v3/contenttype/forms"/>
  </ds:schemaRefs>
</ds:datastoreItem>
</file>

<file path=customXml/itemProps4.xml><?xml version="1.0" encoding="utf-8"?>
<ds:datastoreItem xmlns:ds="http://schemas.openxmlformats.org/officeDocument/2006/customXml" ds:itemID="{1857F1F9-62E7-4A45-BAAA-0B37228EC92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Eingabe</vt:lpstr>
      <vt:lpstr>Auszug für Verfügung</vt:lpstr>
      <vt:lpstr>Kennzahlen</vt:lpstr>
      <vt:lpstr>Basisdaten Gemeinde</vt:lpstr>
      <vt:lpstr>Erste Schritte</vt:lpstr>
      <vt:lpstr>Grundeinstellungen</vt:lpstr>
      <vt:lpstr>Berechnungen</vt:lpstr>
      <vt:lpstr>'Auszug für Verfügung'!Druckbereich</vt:lpstr>
      <vt:lpstr>Eingabe!Druckbereich</vt:lpstr>
      <vt:lpstr>'Erste Schritte'!Druckbereich</vt:lpstr>
      <vt:lpstr>Kennzahlen!Druckbereich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Weishaupt</dc:creator>
  <dc:description>erstellt durch Vorlagenbauer.ch</dc:description>
  <cp:lastModifiedBy>Charlotte Weishaupt</cp:lastModifiedBy>
  <cp:lastPrinted>2023-10-30T10:21:43Z</cp:lastPrinted>
  <dcterms:created xsi:type="dcterms:W3CDTF">2020-11-02T11:42:52Z</dcterms:created>
  <dcterms:modified xsi:type="dcterms:W3CDTF">2024-03-07T13:36:34Z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0x0101009E044C41229C2745B6A3FE15F7783453</vt:lpwstr>
  </property>
  <property fmtid="{D5CDD505-2E9C-101B-9397-08002B2CF9AE}" pid="3" name="MediaServiceImageTags">
    <vt:lpwstr/>
  </property>
</Properties>
</file>